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0" windowHeight="8195" tabRatio="5" activeTab="0"/>
  </bookViews>
  <sheets>
    <sheet name="Ažurirane izmjene dužine Ž i L " sheetId="1" r:id="rId1"/>
    <sheet name="Izmjene " sheetId="2" r:id="rId2"/>
  </sheets>
  <definedNames>
    <definedName name="_xlnm.Print_Titles" localSheetId="0">'Ažurirane izmjene dužine Ž i L '!$4:$7</definedName>
  </definedNames>
  <calcPr fullCalcOnLoad="1"/>
</workbook>
</file>

<file path=xl/sharedStrings.xml><?xml version="1.0" encoding="utf-8"?>
<sst xmlns="http://schemas.openxmlformats.org/spreadsheetml/2006/main" count="530" uniqueCount="269">
  <si>
    <t>P O P I S   Ž U P A N I J S K I H   C E S T A</t>
  </si>
  <si>
    <t>Broj  ceste</t>
  </si>
  <si>
    <t>kolnik</t>
  </si>
  <si>
    <t>ostali</t>
  </si>
  <si>
    <t>dužina:</t>
  </si>
  <si>
    <t>asfalt</t>
  </si>
  <si>
    <t>ukupno</t>
  </si>
  <si>
    <t>O p i s    c e s t e</t>
  </si>
  <si>
    <r>
      <t xml:space="preserve">suvremen </t>
    </r>
    <r>
      <rPr>
        <sz val="8"/>
        <rFont val="Arial"/>
        <family val="2"/>
      </rPr>
      <t>(asf-bet-koc)</t>
    </r>
  </si>
  <si>
    <t>u naseljenom mjestu</t>
  </si>
  <si>
    <t>Širina 2,5 m</t>
  </si>
  <si>
    <t>dužina</t>
  </si>
  <si>
    <t>Širina 3,0 m</t>
  </si>
  <si>
    <t>Širina  3,5 m</t>
  </si>
  <si>
    <t>Širina 4,0 m</t>
  </si>
  <si>
    <t>Širina 4,2 m</t>
  </si>
  <si>
    <t>Širina 4,3 m</t>
  </si>
  <si>
    <t>Širina 4,4 m</t>
  </si>
  <si>
    <t>Širina 4,5 m</t>
  </si>
  <si>
    <t>Širina 4,8 m</t>
  </si>
  <si>
    <t>Širina  5,0 m</t>
  </si>
  <si>
    <t>Širina 5,20</t>
  </si>
  <si>
    <t>Širina 5,30</t>
  </si>
  <si>
    <t>Širina 5,50</t>
  </si>
  <si>
    <t>Širina 5,70</t>
  </si>
  <si>
    <t>Širina 5,80</t>
  </si>
  <si>
    <t>Širina 6,0 m</t>
  </si>
  <si>
    <t>Širina 6,2 m</t>
  </si>
  <si>
    <t>Širina 6,5 m</t>
  </si>
  <si>
    <t>Širina 7,0 m</t>
  </si>
  <si>
    <t>Širina 7,5 m</t>
  </si>
  <si>
    <t>Širina 8,0 m</t>
  </si>
  <si>
    <t>Širina 9.0 m</t>
  </si>
  <si>
    <t>Širina 12.0 m</t>
  </si>
  <si>
    <t>Ukupno dužina</t>
  </si>
  <si>
    <t>Prosječna širina u m</t>
  </si>
  <si>
    <t>(km)</t>
  </si>
  <si>
    <t>D 7 - Duboševica - Ž 4018</t>
  </si>
  <si>
    <t>Kneževo - D 7</t>
  </si>
  <si>
    <r>
      <t xml:space="preserve">D 7 </t>
    </r>
    <r>
      <rPr>
        <sz val="8"/>
        <rFont val="Arial"/>
        <family val="2"/>
      </rPr>
      <t xml:space="preserve">(Kneževo) </t>
    </r>
    <r>
      <rPr>
        <sz val="10"/>
        <rFont val="Arial"/>
        <family val="2"/>
      </rPr>
      <t xml:space="preserve">- Topolje - Gajić - </t>
    </r>
    <r>
      <rPr>
        <sz val="8"/>
        <rFont val="Arial"/>
        <family val="2"/>
      </rPr>
      <t>(Draž)</t>
    </r>
    <r>
      <rPr>
        <sz val="10"/>
        <rFont val="Arial"/>
        <family val="2"/>
      </rPr>
      <t xml:space="preserve"> - Batina D 212</t>
    </r>
  </si>
  <si>
    <r>
      <t>D 7</t>
    </r>
    <r>
      <rPr>
        <sz val="8"/>
        <rFont val="Arial"/>
        <family val="2"/>
      </rPr>
      <t>(Kneževo)</t>
    </r>
    <r>
      <rPr>
        <sz val="10"/>
        <rFont val="Arial"/>
        <family val="2"/>
      </rPr>
      <t xml:space="preserve"> - Branjina - Podolje - Ž 4018 </t>
    </r>
    <r>
      <rPr>
        <sz val="8"/>
        <rFont val="Arial"/>
        <family val="2"/>
      </rPr>
      <t>(Draž)</t>
    </r>
  </si>
  <si>
    <t>Ž 4019 - Popovac (L44064)</t>
  </si>
  <si>
    <r>
      <t xml:space="preserve">Moslavina Podavska (D 34) -  </t>
    </r>
    <r>
      <rPr>
        <sz val="8"/>
        <rFont val="Arial"/>
        <family val="2"/>
      </rPr>
      <t>(Moslavački Krčenik)</t>
    </r>
    <r>
      <rPr>
        <sz val="10"/>
        <rFont val="Arial"/>
        <family val="2"/>
      </rPr>
      <t xml:space="preserve"> - Zdenci - Orahovica - Pleternica (D 38)</t>
    </r>
  </si>
  <si>
    <r>
      <t>D 34-Viljevo</t>
    </r>
    <r>
      <rPr>
        <sz val="8"/>
        <rFont val="Arial"/>
        <family val="2"/>
      </rPr>
      <t>-Kapelna-Kučanci-Magadenovac</t>
    </r>
    <r>
      <rPr>
        <sz val="10"/>
        <rFont val="Arial"/>
        <family val="2"/>
      </rPr>
      <t>-Šljivoševci</t>
    </r>
    <r>
      <rPr>
        <sz val="8"/>
        <rFont val="Arial"/>
        <family val="2"/>
      </rPr>
      <t>-Lacići</t>
    </r>
    <r>
      <rPr>
        <sz val="10"/>
        <rFont val="Arial"/>
        <family val="2"/>
      </rPr>
      <t>-Koška (D 2)</t>
    </r>
  </si>
  <si>
    <r>
      <t xml:space="preserve">D. Miholjac(Ž4295) </t>
    </r>
    <r>
      <rPr>
        <sz val="8"/>
        <rFont val="Arial"/>
        <family val="2"/>
      </rPr>
      <t>(Mihanovića-P. Radića) –</t>
    </r>
    <r>
      <rPr>
        <sz val="10"/>
        <rFont val="Arial"/>
        <family val="2"/>
      </rPr>
      <t xml:space="preserve"> Ivanovo-Cret Viljevski (Ž4031)</t>
    </r>
  </si>
  <si>
    <t>Torjanci - N.Nevesinje – Baranjsko Petrovo Selo (D 517)</t>
  </si>
  <si>
    <t>Luč (L44006) - Petlovac (D 517)</t>
  </si>
  <si>
    <t>Podolje (Ž4019) - Kotlina - Kn.Vinogradi (D 212)</t>
  </si>
  <si>
    <t>Baranjsko Petrovo Selo (D 517) - Novi Bezdan</t>
  </si>
  <si>
    <r>
      <t>D 517-Bolman</t>
    </r>
    <r>
      <rPr>
        <sz val="8"/>
        <rFont val="Arial"/>
        <family val="2"/>
      </rPr>
      <t>-Jagodnjak-N.Čeminac</t>
    </r>
    <r>
      <rPr>
        <sz val="10"/>
        <rFont val="Arial"/>
        <family val="2"/>
      </rPr>
      <t xml:space="preserve"> - Uglješ - Švajcarnica (D 7)</t>
    </r>
  </si>
  <si>
    <r>
      <t xml:space="preserve">D 212 </t>
    </r>
    <r>
      <rPr>
        <sz val="8"/>
        <rFont val="Arial"/>
        <family val="2"/>
      </rPr>
      <t xml:space="preserve">(Kn.Vinogradi) </t>
    </r>
    <r>
      <rPr>
        <sz val="10"/>
        <rFont val="Arial"/>
        <family val="2"/>
      </rPr>
      <t xml:space="preserve">- Grabovac - </t>
    </r>
    <r>
      <rPr>
        <sz val="8"/>
        <rFont val="Arial"/>
        <family val="2"/>
      </rPr>
      <t xml:space="preserve">Lug </t>
    </r>
    <r>
      <rPr>
        <sz val="10"/>
        <rFont val="Arial"/>
        <family val="2"/>
      </rPr>
      <t>- Vardarac - Bilje (Ž4257)</t>
    </r>
  </si>
  <si>
    <t>Golinci (L44015) - Miholjački Poreč (D 53)</t>
  </si>
  <si>
    <r>
      <t>Miholjački Poreč(D 53)</t>
    </r>
    <r>
      <rPr>
        <sz val="8"/>
        <rFont val="Arial"/>
        <family val="2"/>
      </rPr>
      <t>-Radikovci</t>
    </r>
    <r>
      <rPr>
        <sz val="10"/>
        <rFont val="Arial"/>
        <family val="2"/>
      </rPr>
      <t>-Čamagajevci-Črnkovci (D 34)</t>
    </r>
  </si>
  <si>
    <t>Čamagajevci (Ž 4047) - Marijanci (Ž 4049)</t>
  </si>
  <si>
    <t>Črnkovci (Ž4047) - Marijanci - Šljivoševci (Ž 4031)</t>
  </si>
  <si>
    <r>
      <t>Belišće (D 517)</t>
    </r>
    <r>
      <rPr>
        <sz val="8"/>
        <rFont val="Arial"/>
        <family val="2"/>
      </rPr>
      <t>(K.Tomislava)</t>
    </r>
    <r>
      <rPr>
        <sz val="10"/>
        <rFont val="Arial"/>
        <family val="2"/>
      </rPr>
      <t>-Valpovo</t>
    </r>
    <r>
      <rPr>
        <sz val="8"/>
        <rFont val="Arial"/>
        <family val="2"/>
      </rPr>
      <t>(J.J.Strossmayera-A.B.Šimića)</t>
    </r>
    <r>
      <rPr>
        <sz val="10"/>
        <rFont val="Arial"/>
        <family val="2"/>
      </rPr>
      <t>(Ž 4051)</t>
    </r>
  </si>
  <si>
    <r>
      <t xml:space="preserve">Valpovo: D 34  -  D 34 </t>
    </r>
    <r>
      <rPr>
        <sz val="8"/>
        <rFont val="Arial"/>
        <family val="2"/>
      </rPr>
      <t>(bana J.Jelačića-Osječka-M.Gupca)</t>
    </r>
  </si>
  <si>
    <r>
      <t>Valpovo(Ž 4051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- D 34)</t>
    </r>
  </si>
  <si>
    <r>
      <t xml:space="preserve">Valpovo (Ž 4051) </t>
    </r>
    <r>
      <rPr>
        <sz val="8"/>
        <rFont val="Arial"/>
        <family val="2"/>
      </rPr>
      <t xml:space="preserve">(N.Tesle-E.Kvaternika) </t>
    </r>
    <r>
      <rPr>
        <sz val="10"/>
        <rFont val="Arial"/>
        <family val="2"/>
      </rPr>
      <t>- Nard (L44028)</t>
    </r>
  </si>
  <si>
    <t>N.Čeminac (Ž 4041) - Čeminac (D 7)</t>
  </si>
  <si>
    <t>Zlatna Greda – Lug (Ž4056)</t>
  </si>
  <si>
    <r>
      <t>Lug (Ž 4042) - Kozjak</t>
    </r>
    <r>
      <rPr>
        <sz val="8"/>
        <rFont val="Arial"/>
        <family val="2"/>
      </rPr>
      <t>-Podunavlje</t>
    </r>
    <r>
      <rPr>
        <sz val="10"/>
        <rFont val="Arial"/>
        <family val="2"/>
      </rPr>
      <t>- Kopačevo – Bilje (Ž 4042)</t>
    </r>
  </si>
  <si>
    <r>
      <t xml:space="preserve">D 53 </t>
    </r>
    <r>
      <rPr>
        <sz val="8"/>
        <rFont val="Arial"/>
        <family val="2"/>
      </rPr>
      <t>(Beničanci)-Bokšić Lug</t>
    </r>
    <r>
      <rPr>
        <sz val="10"/>
        <rFont val="Arial"/>
        <family val="2"/>
      </rPr>
      <t>-Bokšić</t>
    </r>
    <r>
      <rPr>
        <sz val="8"/>
        <rFont val="Arial"/>
        <family val="2"/>
      </rPr>
      <t>-Beljevina</t>
    </r>
    <r>
      <rPr>
        <sz val="10"/>
        <rFont val="Arial"/>
        <family val="2"/>
      </rPr>
      <t>-Feričanci (D 2)</t>
    </r>
  </si>
  <si>
    <r>
      <t xml:space="preserve">Bocanjevci (L44023) </t>
    </r>
    <r>
      <rPr>
        <sz val="8"/>
        <rFont val="Arial"/>
        <family val="2"/>
      </rPr>
      <t>-Gorica</t>
    </r>
    <r>
      <rPr>
        <sz val="10"/>
        <rFont val="Arial"/>
        <family val="2"/>
      </rPr>
      <t xml:space="preserve">- Valpovo </t>
    </r>
    <r>
      <rPr>
        <sz val="8"/>
        <rFont val="Arial"/>
        <family val="2"/>
      </rPr>
      <t>(Lj.Gaja-V.Nazora)</t>
    </r>
    <r>
      <rPr>
        <sz val="10"/>
        <rFont val="Arial"/>
        <family val="2"/>
      </rPr>
      <t xml:space="preserve"> (Ž 4051)</t>
    </r>
  </si>
  <si>
    <r>
      <t xml:space="preserve">Ž4052 </t>
    </r>
    <r>
      <rPr>
        <sz val="8"/>
        <rFont val="Arial"/>
        <family val="2"/>
      </rPr>
      <t xml:space="preserve">(Metlinci) </t>
    </r>
    <r>
      <rPr>
        <sz val="10"/>
        <rFont val="Arial"/>
        <family val="2"/>
      </rPr>
      <t>- Ladimirevci - Bizovac (D 2)</t>
    </r>
  </si>
  <si>
    <r>
      <t>Ladimirevci (Ž 4060)</t>
    </r>
    <r>
      <rPr>
        <sz val="8"/>
        <rFont val="Arial"/>
        <family val="2"/>
      </rPr>
      <t>-Satnica</t>
    </r>
    <r>
      <rPr>
        <sz val="10"/>
        <rFont val="Arial"/>
        <family val="2"/>
      </rPr>
      <t>-Petrijevci (D 34)</t>
    </r>
  </si>
  <si>
    <r>
      <t xml:space="preserve">Ž 4030 </t>
    </r>
    <r>
      <rPr>
        <sz val="8"/>
        <rFont val="Arial"/>
        <family val="2"/>
      </rPr>
      <t xml:space="preserve">(Zdenci) </t>
    </r>
    <r>
      <rPr>
        <sz val="10"/>
        <rFont val="Arial"/>
        <family val="2"/>
      </rPr>
      <t xml:space="preserve">- Zokov Gaj - Ž 4058 </t>
    </r>
    <r>
      <rPr>
        <sz val="8"/>
        <rFont val="Arial"/>
        <family val="2"/>
      </rPr>
      <t>(Bokšić)</t>
    </r>
  </si>
  <si>
    <r>
      <t xml:space="preserve">Zdenci (Ž 4030) - Bankovci - Ž 4058 </t>
    </r>
    <r>
      <rPr>
        <sz val="8"/>
        <rFont val="Arial"/>
        <family val="2"/>
      </rPr>
      <t>(Feričanci)</t>
    </r>
  </si>
  <si>
    <r>
      <t xml:space="preserve">Bokšić (Ž 4058) </t>
    </r>
    <r>
      <rPr>
        <sz val="8"/>
        <rFont val="Arial"/>
        <family val="2"/>
      </rPr>
      <t>-Šaptinovci</t>
    </r>
    <r>
      <rPr>
        <sz val="10"/>
        <rFont val="Arial"/>
        <family val="2"/>
      </rPr>
      <t>- Klokočevci (D 53)</t>
    </r>
  </si>
  <si>
    <r>
      <t xml:space="preserve">Bizovac (D 2) </t>
    </r>
    <r>
      <rPr>
        <sz val="8"/>
        <rFont val="Arial"/>
        <family val="2"/>
      </rPr>
      <t>- Novaki</t>
    </r>
    <r>
      <rPr>
        <sz val="10"/>
        <rFont val="Arial"/>
        <family val="2"/>
      </rPr>
      <t>- Brođanci - Čepinski Martinci (Ž 4105)</t>
    </r>
  </si>
  <si>
    <t>Ž 4058 (Beljevina) - Đurđenovac (Ž 4075)</t>
  </si>
  <si>
    <t>Šaptinovci (Ž 4066)-Sušine-Đurđenovac (Ž 4075)</t>
  </si>
  <si>
    <t>D 2 - Vučjak Feričanački - Đurđenovac - Pribiševci – Velimirovac (D 53)</t>
  </si>
  <si>
    <r>
      <t>Ž 4075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- Našičko Novo Selo - Gabrilovac – Đurđenovac (Ž4075)</t>
    </r>
  </si>
  <si>
    <t>Ličko Novo Selo (Ž4076) - Brezik Našički – Našice (D2)</t>
  </si>
  <si>
    <t>Klokočevci (D53) - Lila - Ribnjak - Lađanska  - Jelisavac (D2)</t>
  </si>
  <si>
    <r>
      <t xml:space="preserve">D 2 </t>
    </r>
    <r>
      <rPr>
        <sz val="8"/>
        <rFont val="Arial"/>
        <family val="2"/>
      </rPr>
      <t>(Koška)</t>
    </r>
    <r>
      <rPr>
        <sz val="10"/>
        <rFont val="Arial"/>
        <family val="2"/>
      </rPr>
      <t xml:space="preserve"> - Ledenik (L44047)</t>
    </r>
  </si>
  <si>
    <r>
      <t xml:space="preserve">Koška (D 2) </t>
    </r>
    <r>
      <rPr>
        <sz val="8"/>
        <rFont val="Arial"/>
        <family val="2"/>
      </rPr>
      <t>- Lug Subotički</t>
    </r>
    <r>
      <rPr>
        <sz val="10"/>
        <rFont val="Arial"/>
        <family val="2"/>
      </rPr>
      <t xml:space="preserve"> - Budimci (Ž 4105)</t>
    </r>
  </si>
  <si>
    <t>Habjanovci (L44053) - Brođanci ( Ž 4067)</t>
  </si>
  <si>
    <t>D7 - Čepin - Livana - A.G. Grada Osijeka</t>
  </si>
  <si>
    <t>Čepin (Ž4085) - Ivanovac - D518</t>
  </si>
  <si>
    <t>Aljmaš - Ž 4093</t>
  </si>
  <si>
    <r>
      <t xml:space="preserve">D 213 </t>
    </r>
    <r>
      <rPr>
        <sz val="8"/>
        <rFont val="Arial"/>
        <family val="2"/>
      </rPr>
      <t>(Aljmaš)</t>
    </r>
    <r>
      <rPr>
        <sz val="10"/>
        <rFont val="Arial"/>
        <family val="2"/>
      </rPr>
      <t xml:space="preserve"> - Erdut - D 213</t>
    </r>
  </si>
  <si>
    <r>
      <t>Marjančanci (L44029) - D 517</t>
    </r>
    <r>
      <rPr>
        <sz val="8"/>
        <rFont val="Arial"/>
        <family val="2"/>
      </rPr>
      <t xml:space="preserve"> (Metlinci)</t>
    </r>
  </si>
  <si>
    <t>Seona – Martin (D 2)</t>
  </si>
  <si>
    <r>
      <t>Podgorač (D 515)-Budimci-</t>
    </r>
    <r>
      <rPr>
        <sz val="8"/>
        <rFont val="Arial"/>
        <family val="2"/>
      </rPr>
      <t>Poganovci-Čokadinci-Čepinski Martinci</t>
    </r>
    <r>
      <rPr>
        <sz val="10"/>
        <rFont val="Arial"/>
        <family val="2"/>
      </rPr>
      <t>-Čepin (Ž4085)</t>
    </r>
  </si>
  <si>
    <r>
      <t>Ž 4105</t>
    </r>
    <r>
      <rPr>
        <sz val="8"/>
        <rFont val="Arial"/>
        <family val="2"/>
      </rPr>
      <t>(Poganovci)-Krndija</t>
    </r>
    <r>
      <rPr>
        <sz val="10"/>
        <rFont val="Arial"/>
        <family val="2"/>
      </rPr>
      <t>-Punitovci-Tomašanci-D 7</t>
    </r>
  </si>
  <si>
    <r>
      <t>Punitovci(Ž4106)</t>
    </r>
    <r>
      <rPr>
        <sz val="8"/>
        <rFont val="Arial"/>
        <family val="2"/>
      </rPr>
      <t>-Jurjevac Punitovački</t>
    </r>
    <r>
      <rPr>
        <sz val="10"/>
        <rFont val="Arial"/>
        <family val="2"/>
      </rPr>
      <t>-Beketinci-D7</t>
    </r>
    <r>
      <rPr>
        <sz val="8"/>
        <rFont val="Arial"/>
        <family val="2"/>
      </rPr>
      <t>(Bijele Klade-Mala Branjevina)</t>
    </r>
  </si>
  <si>
    <t>Ž 4107 - Jurjevac Punitovački - Široko Polje ( D 7)</t>
  </si>
  <si>
    <r>
      <t>D 7</t>
    </r>
    <r>
      <rPr>
        <sz val="8"/>
        <rFont val="Arial"/>
        <family val="2"/>
      </rPr>
      <t xml:space="preserve">(Vel.Branjevina) </t>
    </r>
    <r>
      <rPr>
        <sz val="10"/>
        <rFont val="Arial"/>
        <family val="2"/>
      </rPr>
      <t>- Vladislavci - Paulin Dvor - Ernestinovo (D 518)</t>
    </r>
  </si>
  <si>
    <t>Dopsin (L44107) - Vladislavci (Ž 4109)</t>
  </si>
  <si>
    <r>
      <t>T.L. "Borovik"(L44099)</t>
    </r>
    <r>
      <rPr>
        <sz val="8"/>
        <rFont val="Arial"/>
        <family val="2"/>
      </rPr>
      <t>-Mandićevac</t>
    </r>
    <r>
      <rPr>
        <sz val="10"/>
        <rFont val="Arial"/>
        <family val="2"/>
      </rPr>
      <t>-Drenje</t>
    </r>
    <r>
      <rPr>
        <sz val="8"/>
        <rFont val="Arial"/>
        <family val="2"/>
      </rPr>
      <t>-Kučanci</t>
    </r>
    <r>
      <rPr>
        <sz val="10"/>
        <rFont val="Arial"/>
        <family val="2"/>
      </rPr>
      <t xml:space="preserve">-D 515 </t>
    </r>
    <r>
      <rPr>
        <sz val="8"/>
        <rFont val="Arial"/>
        <family val="2"/>
      </rPr>
      <t>(Bijela Vila)</t>
    </r>
  </si>
  <si>
    <r>
      <t xml:space="preserve">Slatinik Drenjski (L44102) - Ž 4118 </t>
    </r>
    <r>
      <rPr>
        <sz val="8"/>
        <rFont val="Arial"/>
        <family val="2"/>
      </rPr>
      <t>(Mandićevac)</t>
    </r>
  </si>
  <si>
    <r>
      <t>Vuka (D 7)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- Lipovac Hrastinski - Koritna - Ž 4130</t>
    </r>
  </si>
  <si>
    <r>
      <t>D 518 - Laslovo</t>
    </r>
    <r>
      <rPr>
        <sz val="8"/>
        <rFont val="Arial"/>
        <family val="2"/>
      </rPr>
      <t>-Palača</t>
    </r>
    <r>
      <rPr>
        <sz val="10"/>
        <rFont val="Arial"/>
        <family val="2"/>
      </rPr>
      <t xml:space="preserve"> - Korog - Ž 4148</t>
    </r>
    <r>
      <rPr>
        <sz val="8"/>
        <rFont val="Arial"/>
        <family val="2"/>
      </rPr>
      <t xml:space="preserve"> (Tordinci)</t>
    </r>
  </si>
  <si>
    <t>Silaš (L44083) - Korog (Ž 4121)</t>
  </si>
  <si>
    <t>Josipovac Punitovački (Ž 4106)-Gorjani-Satnica Đakovačka (D 515)</t>
  </si>
  <si>
    <t>Satnica Đakovačka(D 515)-Gašinci-Kondrić (D 38)</t>
  </si>
  <si>
    <r>
      <t>D 7</t>
    </r>
    <r>
      <rPr>
        <sz val="8"/>
        <rFont val="Arial"/>
        <family val="2"/>
      </rPr>
      <t>(Kuševac)</t>
    </r>
    <r>
      <rPr>
        <sz val="10"/>
        <rFont val="Arial"/>
        <family val="2"/>
      </rPr>
      <t>-Viškovci</t>
    </r>
    <r>
      <rPr>
        <sz val="8"/>
        <rFont val="Arial"/>
        <family val="2"/>
      </rPr>
      <t>-Forkuševci</t>
    </r>
    <r>
      <rPr>
        <sz val="10"/>
        <rFont val="Arial"/>
        <family val="2"/>
      </rPr>
      <t>-Semeljci</t>
    </r>
    <r>
      <rPr>
        <sz val="8"/>
        <rFont val="Arial"/>
        <family val="2"/>
      </rPr>
      <t>-Koritna</t>
    </r>
    <r>
      <rPr>
        <sz val="10"/>
        <rFont val="Arial"/>
        <family val="2"/>
      </rPr>
      <t>-Šodolovci-Petrova Slatina – Ernestinovo (D518)</t>
    </r>
  </si>
  <si>
    <r>
      <t xml:space="preserve">Ž 4130 </t>
    </r>
    <r>
      <rPr>
        <sz val="8"/>
        <rFont val="Arial"/>
        <family val="2"/>
      </rPr>
      <t xml:space="preserve">(Forkuševci) </t>
    </r>
    <r>
      <rPr>
        <sz val="10"/>
        <rFont val="Arial"/>
        <family val="2"/>
      </rPr>
      <t>- Vučevci</t>
    </r>
  </si>
  <si>
    <t>Semeljci (Ž 4130) - Kešinci - Mrzović (Ž 4148)</t>
  </si>
  <si>
    <t>Kešinci (Ž 4132) - Vrbica - St. Mikanovci (D 46)</t>
  </si>
  <si>
    <t>Breznica Đakovačka (L44099) – Levanjska Varoš (D 38)</t>
  </si>
  <si>
    <r>
      <t>Đakovo: D 7 - Ž 4146</t>
    </r>
    <r>
      <rPr>
        <sz val="8"/>
        <rFont val="Arial"/>
        <family val="2"/>
      </rPr>
      <t xml:space="preserve"> (A.Starčevića-A.Hebranga)</t>
    </r>
  </si>
  <si>
    <r>
      <t>Đakovo: D 7 - D 46</t>
    </r>
    <r>
      <rPr>
        <sz val="8"/>
        <rFont val="Arial"/>
        <family val="2"/>
      </rPr>
      <t xml:space="preserve"> (N.Tesle - V.Nazora -F.K.Frankopana - E.Kvaternika)</t>
    </r>
  </si>
  <si>
    <r>
      <t>Đakovo: D 7 - Ž 4146</t>
    </r>
    <r>
      <rPr>
        <sz val="8"/>
        <rFont val="Arial"/>
        <family val="2"/>
      </rPr>
      <t xml:space="preserve"> (F.Račkog - S.Radića - bana J.Jelačića)</t>
    </r>
  </si>
  <si>
    <r>
      <t xml:space="preserve">Vrbica (Ž 4133) - Mrzović - Markušica </t>
    </r>
    <r>
      <rPr>
        <sz val="8"/>
        <rFont val="Arial"/>
        <family val="2"/>
      </rPr>
      <t xml:space="preserve">- Tordinci </t>
    </r>
    <r>
      <rPr>
        <sz val="10"/>
        <rFont val="Arial"/>
        <family val="2"/>
      </rPr>
      <t>- Ž 4111</t>
    </r>
  </si>
  <si>
    <r>
      <t xml:space="preserve">D 38 </t>
    </r>
    <r>
      <rPr>
        <sz val="8"/>
        <rFont val="Arial"/>
        <family val="2"/>
      </rPr>
      <t xml:space="preserve">(Kondrić) </t>
    </r>
    <r>
      <rPr>
        <sz val="10"/>
        <rFont val="Arial"/>
        <family val="2"/>
      </rPr>
      <t>- Trnava - Staro Topolje (Ž 4202)</t>
    </r>
  </si>
  <si>
    <t>N.Perkovci (L44127) - Piškorevci - D 7</t>
  </si>
  <si>
    <t>Našice: Martin (D53) - Markovac Našički (D515)</t>
  </si>
  <si>
    <r>
      <t xml:space="preserve">Lapovci (L44122) - Ž 4163 </t>
    </r>
    <r>
      <rPr>
        <sz val="8"/>
        <rFont val="Arial"/>
        <family val="2"/>
      </rPr>
      <t>(ekonomija)</t>
    </r>
  </si>
  <si>
    <t>Bartolovci (D 525) - Brodski Varoš - Garčin - Vrpolje - Strizivojna - St.Mikanovci (D 46)</t>
  </si>
  <si>
    <t>Koška (D-2) - Ordanja - Andrijevac (L44047)</t>
  </si>
  <si>
    <t>Gorjani (Ž 4128) - Tomašanci (Ž 4106)</t>
  </si>
  <si>
    <t>Tomašanci (Ž 4106) - Ivanovci Gorjanski – Kuševac (D 7)</t>
  </si>
  <si>
    <t>Čepin: D7 – Ž4085</t>
  </si>
  <si>
    <t>D 7 (Švajcarnica) – Darda – Bilje – A.G. Grada Osijeka</t>
  </si>
  <si>
    <r>
      <t xml:space="preserve">Zmajevac (D212) – Ž4018 </t>
    </r>
    <r>
      <rPr>
        <sz val="8"/>
        <rFont val="Arial"/>
        <family val="2"/>
      </rPr>
      <t>(Draž)</t>
    </r>
  </si>
  <si>
    <t>Ž4105 - čvor Čepin (A5)</t>
  </si>
  <si>
    <t>Trnava (Ž4163) - Dragotin (LC44141) - Đakovo (Ž4147)</t>
  </si>
  <si>
    <t>Branjin Vrh (D7) – Šećerana - Šumarina – Beli Manastir (D517)</t>
  </si>
  <si>
    <t>D 34 – Donji Miholjac – D34</t>
  </si>
  <si>
    <t>Markovac Našički (D2) - Ž4168</t>
  </si>
  <si>
    <t>Osijek (D417) – Nemetin (D2)</t>
  </si>
  <si>
    <t>Ukupno:</t>
  </si>
  <si>
    <t>prosječna širina županijske ceste</t>
  </si>
  <si>
    <t>P O P I S    L O K A L N I H    C E S T A</t>
  </si>
  <si>
    <r>
      <t>St.Petrovo Polje (L 40066)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- Ž 4031</t>
    </r>
  </si>
  <si>
    <t>Duzluk (Ž 4030 ) Šumeđe - Gazije - Seona (Ž 4104)</t>
  </si>
  <si>
    <t>Stari Zdenkovac (L41048) – Rozmajerovac (L44093)</t>
  </si>
  <si>
    <t>Martinci Miholjački - Gezinci (D 34)</t>
  </si>
  <si>
    <r>
      <t>Zeleno polje - Ž 4034</t>
    </r>
    <r>
      <rPr>
        <sz val="8"/>
        <rFont val="Arial"/>
        <family val="2"/>
      </rPr>
      <t xml:space="preserve"> (Petlovac)</t>
    </r>
  </si>
  <si>
    <t>Luč (Ž 4034) - Šumarina (Ž 4035)</t>
  </si>
  <si>
    <t>Širine - D 517</t>
  </si>
  <si>
    <t>Kn.Vinogradi (D 212) - Kamenac - Karanac- Kozarac (D 7)</t>
  </si>
  <si>
    <r>
      <t>Suza (D 212) - Mirkovac - L 44034</t>
    </r>
    <r>
      <rPr>
        <sz val="8"/>
        <rFont val="Arial"/>
        <family val="2"/>
      </rPr>
      <t xml:space="preserve"> (Jasenovac-Sokolovac)</t>
    </r>
  </si>
  <si>
    <r>
      <t>Kapelna (Ž 4031)-</t>
    </r>
    <r>
      <rPr>
        <sz val="8"/>
        <rFont val="Arial"/>
        <family val="2"/>
      </rPr>
      <t xml:space="preserve">Krunoslavje </t>
    </r>
    <r>
      <rPr>
        <sz val="10"/>
        <rFont val="Arial"/>
        <family val="2"/>
      </rPr>
      <t xml:space="preserve">- L 44015 </t>
    </r>
    <r>
      <rPr>
        <sz val="8"/>
        <rFont val="Arial"/>
        <family val="2"/>
      </rPr>
      <t>(Golinci)</t>
    </r>
  </si>
  <si>
    <t>Krunoslavje (L44013) – Kućanci (Ž 4031)</t>
  </si>
  <si>
    <t>Golinci (Ž 4046) - Kućanci (Ž 4031)</t>
  </si>
  <si>
    <r>
      <t>Podgajci Podravski(D 34)</t>
    </r>
    <r>
      <rPr>
        <sz val="8"/>
        <rFont val="Arial"/>
        <family val="2"/>
      </rPr>
      <t>-Bočkinci</t>
    </r>
    <r>
      <rPr>
        <sz val="10"/>
        <rFont val="Arial"/>
        <family val="2"/>
      </rPr>
      <t>-Čamagajevci (Ž 4047)</t>
    </r>
  </si>
  <si>
    <t>Bočkinci (L 44016) - Črnkovci (D 34)</t>
  </si>
  <si>
    <r>
      <t>Čamagajevci (Ž 4048) - Ž 4049</t>
    </r>
    <r>
      <rPr>
        <sz val="8"/>
        <rFont val="Arial"/>
        <family val="2"/>
      </rPr>
      <t xml:space="preserve"> (Šljivoševci)</t>
    </r>
  </si>
  <si>
    <t>Beničanci (D 53) - Lacići (Ž 4031)</t>
  </si>
  <si>
    <t>Marijanci (Ž 4049) - Marjanski Ivanovci – Harkanovci (Ž 4052)</t>
  </si>
  <si>
    <r>
      <t xml:space="preserve">Ž 4049 </t>
    </r>
    <r>
      <rPr>
        <sz val="8"/>
        <rFont val="Arial"/>
        <family val="2"/>
      </rPr>
      <t xml:space="preserve">(Marijanci) </t>
    </r>
    <r>
      <rPr>
        <sz val="10"/>
        <rFont val="Arial"/>
        <family val="2"/>
      </rPr>
      <t>- Tiborjanci - D 34</t>
    </r>
  </si>
  <si>
    <r>
      <t xml:space="preserve">D 34 </t>
    </r>
    <r>
      <rPr>
        <sz val="8"/>
        <rFont val="Arial"/>
        <family val="2"/>
      </rPr>
      <t>(Gat)</t>
    </r>
    <r>
      <rPr>
        <sz val="10"/>
        <rFont val="Arial"/>
        <family val="2"/>
      </rPr>
      <t xml:space="preserve">- Veliškovci - L 44021 </t>
    </r>
    <r>
      <rPr>
        <sz val="8"/>
        <rFont val="Arial"/>
        <family val="2"/>
      </rPr>
      <t>(Tiborjanci)</t>
    </r>
  </si>
  <si>
    <t>Tiborjanci(L 44021)- Bocanjevci -Zelčin (Ž4052)</t>
  </si>
  <si>
    <r>
      <t xml:space="preserve">Kitišanci (D 34) - Vinogradci - L 44023 </t>
    </r>
    <r>
      <rPr>
        <sz val="8"/>
        <rFont val="Arial"/>
        <family val="2"/>
      </rPr>
      <t>(Tiborjanci-Bocanjevci)</t>
    </r>
  </si>
  <si>
    <r>
      <t xml:space="preserve">L 44020 </t>
    </r>
    <r>
      <rPr>
        <sz val="8"/>
        <rFont val="Arial"/>
        <family val="2"/>
      </rPr>
      <t xml:space="preserve">(Marijanci) </t>
    </r>
    <r>
      <rPr>
        <sz val="10"/>
        <rFont val="Arial"/>
        <family val="2"/>
      </rPr>
      <t>- Bocanjevci (L 44023)</t>
    </r>
  </si>
  <si>
    <r>
      <t>Novo Nevesinje (Ž 4033) - D 517</t>
    </r>
    <r>
      <rPr>
        <sz val="8"/>
        <rFont val="Arial"/>
        <family val="2"/>
      </rPr>
      <t>(Bakanga)</t>
    </r>
  </si>
  <si>
    <r>
      <t>Kitišanci (D 34) - D 517</t>
    </r>
    <r>
      <rPr>
        <sz val="8"/>
        <rFont val="Arial"/>
        <family val="2"/>
      </rPr>
      <t>(Belišće)</t>
    </r>
  </si>
  <si>
    <r>
      <t>Valpovo (Ž 4050</t>
    </r>
    <r>
      <rPr>
        <sz val="8"/>
        <rFont val="Arial"/>
        <family val="2"/>
      </rPr>
      <t xml:space="preserve"> A.B.Šimića - Starovalpovački put) </t>
    </r>
    <r>
      <rPr>
        <sz val="10"/>
        <rFont val="Arial"/>
        <family val="2"/>
      </rPr>
      <t xml:space="preserve">- Nard - D 34 </t>
    </r>
    <r>
      <rPr>
        <sz val="8"/>
        <rFont val="Arial"/>
        <family val="2"/>
      </rPr>
      <t>(Šag)</t>
    </r>
  </si>
  <si>
    <t>Marjančaci (Ž 4103) - Ž 4052</t>
  </si>
  <si>
    <t>D 517 - Majške Međe</t>
  </si>
  <si>
    <r>
      <t>Darda (Ž 4257) - Ž 4042</t>
    </r>
    <r>
      <rPr>
        <sz val="8"/>
        <rFont val="Arial"/>
        <family val="2"/>
      </rPr>
      <t xml:space="preserve"> (Lug-Vardarac)</t>
    </r>
  </si>
  <si>
    <t>Darda (Ž 4257) - želj. Kolodvor</t>
  </si>
  <si>
    <r>
      <t>Ž 4042 - Jasenovac - Sokolovac - Ž 4055</t>
    </r>
    <r>
      <rPr>
        <sz val="8"/>
        <rFont val="Arial"/>
        <family val="2"/>
      </rPr>
      <t xml:space="preserve"> (Kozjak)</t>
    </r>
  </si>
  <si>
    <r>
      <t xml:space="preserve">Ž 4055 </t>
    </r>
    <r>
      <rPr>
        <sz val="8"/>
        <rFont val="Arial"/>
        <family val="2"/>
      </rPr>
      <t xml:space="preserve">(dvorac) </t>
    </r>
    <r>
      <rPr>
        <sz val="10"/>
        <rFont val="Arial"/>
        <family val="2"/>
      </rPr>
      <t>- Tikveš</t>
    </r>
  </si>
  <si>
    <t>Feričanci (D 2) - Valenovac - Gazije (L 40080)</t>
  </si>
  <si>
    <r>
      <t xml:space="preserve">D 2 </t>
    </r>
    <r>
      <rPr>
        <sz val="8"/>
        <rFont val="Arial"/>
        <family val="2"/>
      </rPr>
      <t xml:space="preserve">(Vučjak Feričanački) </t>
    </r>
    <r>
      <rPr>
        <sz val="10"/>
        <rFont val="Arial"/>
        <family val="2"/>
      </rPr>
      <t>- Valenovac (L 44037)</t>
    </r>
  </si>
  <si>
    <t>Sušine (Ž 4074) - Teodorovac</t>
  </si>
  <si>
    <r>
      <t xml:space="preserve">D 53 </t>
    </r>
    <r>
      <rPr>
        <sz val="8"/>
        <rFont val="Arial"/>
        <family val="2"/>
      </rPr>
      <t>(Klokočevci)</t>
    </r>
    <r>
      <rPr>
        <sz val="10"/>
        <rFont val="Arial"/>
        <family val="2"/>
      </rPr>
      <t xml:space="preserve"> - Lipine</t>
    </r>
  </si>
  <si>
    <r>
      <t>Velimirovac (D 53) - D 2</t>
    </r>
    <r>
      <rPr>
        <sz val="8"/>
        <rFont val="Arial"/>
        <family val="2"/>
      </rPr>
      <t xml:space="preserve"> (Jelisavac)</t>
    </r>
  </si>
  <si>
    <t>D 2 - želj. kolodvor "Jelisavac"</t>
  </si>
  <si>
    <r>
      <t>Ledenik (Ž 4079) - Ž 4105</t>
    </r>
    <r>
      <rPr>
        <sz val="8"/>
        <rFont val="Arial"/>
        <family val="2"/>
      </rPr>
      <t xml:space="preserve"> (Podgorač)</t>
    </r>
  </si>
  <si>
    <r>
      <t xml:space="preserve">Ledenik(L 44046)-Andrijevac-Branimirovac-Ž 4080 </t>
    </r>
    <r>
      <rPr>
        <sz val="8"/>
        <rFont val="Arial"/>
        <family val="2"/>
      </rPr>
      <t xml:space="preserve"> ( Lug Subotički)</t>
    </r>
  </si>
  <si>
    <r>
      <t xml:space="preserve">Andrijevac (Ž 4237) - Bijela Loza - Ž 4105 </t>
    </r>
    <r>
      <rPr>
        <sz val="8"/>
        <rFont val="Arial"/>
        <family val="2"/>
      </rPr>
      <t>(Klenik-Podgorač)</t>
    </r>
  </si>
  <si>
    <r>
      <t>Ordanja (Ž 4237) - Ž 4080</t>
    </r>
    <r>
      <rPr>
        <sz val="8"/>
        <rFont val="Arial"/>
        <family val="2"/>
      </rPr>
      <t xml:space="preserve"> (Koška-Lug Subotički)</t>
    </r>
  </si>
  <si>
    <r>
      <t>Ž4052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- Topoline (D 2)</t>
    </r>
  </si>
  <si>
    <t>Lug Subotički (Ž 4080) - Habjanovci (Ž 4081)</t>
  </si>
  <si>
    <t>Ivanovci (Ž4052) - Cret Bizovački ( D 2)</t>
  </si>
  <si>
    <t>Cret Bizovački (D 2) - Habjanovci (Ž 4081)</t>
  </si>
  <si>
    <r>
      <t xml:space="preserve">Satnica </t>
    </r>
    <r>
      <rPr>
        <sz val="8"/>
        <rFont val="Arial"/>
        <family val="2"/>
      </rPr>
      <t>Valpov.</t>
    </r>
    <r>
      <rPr>
        <sz val="10"/>
        <rFont val="Arial"/>
        <family val="2"/>
      </rPr>
      <t xml:space="preserve">(Ž 4061) - D 2 </t>
    </r>
    <r>
      <rPr>
        <sz val="8"/>
        <rFont val="Arial"/>
        <family val="2"/>
      </rPr>
      <t>(Bizovac-Samatovci)</t>
    </r>
  </si>
  <si>
    <t>Petrijevci (Ž 4061) - Selci - Brođanci (Ž 4067)</t>
  </si>
  <si>
    <r>
      <t xml:space="preserve">Cerovac - L 44055 </t>
    </r>
    <r>
      <rPr>
        <sz val="8"/>
        <rFont val="Arial"/>
        <family val="2"/>
      </rPr>
      <t>(Selci)</t>
    </r>
  </si>
  <si>
    <r>
      <t>Čepinski Martinci (Ž 4105) - Ž 4107</t>
    </r>
    <r>
      <rPr>
        <sz val="8"/>
        <rFont val="Arial"/>
        <family val="2"/>
      </rPr>
      <t xml:space="preserve"> (Beketinci)</t>
    </r>
  </si>
  <si>
    <t>Popovac (Ž4027) – Kamenac (L44010)</t>
  </si>
  <si>
    <t>A.G. Grada Osijeka - Silaš (Ž 4122)</t>
  </si>
  <si>
    <t>Bijelo Brdo (D 213) - želj. kolodvor</t>
  </si>
  <si>
    <r>
      <t xml:space="preserve">D 213 </t>
    </r>
    <r>
      <rPr>
        <sz val="8"/>
        <rFont val="Arial"/>
        <family val="2"/>
      </rPr>
      <t xml:space="preserve">(Bijelo Brdo, Mišino brdo) </t>
    </r>
    <r>
      <rPr>
        <sz val="10"/>
        <rFont val="Arial"/>
        <family val="2"/>
      </rPr>
      <t>- Ž 4093</t>
    </r>
    <r>
      <rPr>
        <sz val="8"/>
        <rFont val="Arial"/>
        <family val="2"/>
      </rPr>
      <t xml:space="preserve"> (Aljmaš)</t>
    </r>
  </si>
  <si>
    <r>
      <t xml:space="preserve">D 213 </t>
    </r>
    <r>
      <rPr>
        <sz val="8"/>
        <rFont val="Arial"/>
        <family val="2"/>
      </rPr>
      <t xml:space="preserve">(Marinovci) </t>
    </r>
    <r>
      <rPr>
        <sz val="10"/>
        <rFont val="Arial"/>
        <family val="2"/>
      </rPr>
      <t xml:space="preserve">- Vera (Ž 4111) </t>
    </r>
  </si>
  <si>
    <t>Gazije (L 40080)- D.Motičina (D 2)</t>
  </si>
  <si>
    <r>
      <t>Zoljan (D 53) - želj.kolodvor</t>
    </r>
    <r>
      <rPr>
        <sz val="8"/>
        <rFont val="Arial"/>
        <family val="2"/>
      </rPr>
      <t xml:space="preserve"> </t>
    </r>
  </si>
  <si>
    <r>
      <t xml:space="preserve">Našice: D 2 </t>
    </r>
    <r>
      <rPr>
        <sz val="8"/>
        <rFont val="Arial"/>
        <family val="2"/>
      </rPr>
      <t xml:space="preserve">(od semafora V.Lisinskog-J.J.Strossmayera do policije) </t>
    </r>
    <r>
      <rPr>
        <sz val="10"/>
        <rFont val="Arial"/>
        <family val="2"/>
      </rPr>
      <t>- Ž 4168</t>
    </r>
  </si>
  <si>
    <t>Markovac Našički (Ž 4168) - Makloševac - Ceremošnjak - Granice - Rozmajerovac</t>
  </si>
  <si>
    <t>Gradac Našički (D 53) - Londžica</t>
  </si>
  <si>
    <t>Treba uskladiti dužinu sa izvedenom dužinom rekonstrukcije</t>
  </si>
  <si>
    <r>
      <t xml:space="preserve">L 44094 </t>
    </r>
    <r>
      <rPr>
        <sz val="8"/>
        <rFont val="Arial"/>
        <family val="2"/>
      </rPr>
      <t>(Londžica)</t>
    </r>
    <r>
      <rPr>
        <sz val="10"/>
        <rFont val="Arial"/>
        <family val="2"/>
      </rPr>
      <t xml:space="preserve"> - L 44093 </t>
    </r>
    <r>
      <rPr>
        <sz val="8"/>
        <rFont val="Arial"/>
        <family val="2"/>
      </rPr>
      <t>(šum cest: Lonđica-Ceremošnjak)</t>
    </r>
  </si>
  <si>
    <t>Kelešinka - Stipanovci (D 515)</t>
  </si>
  <si>
    <t>Stipanovci (D 515) - Kršinci</t>
  </si>
  <si>
    <r>
      <t>Podgorač (D 515)</t>
    </r>
    <r>
      <rPr>
        <sz val="8"/>
        <rFont val="Arial"/>
        <family val="2"/>
      </rPr>
      <t>-Ostrošinci-Podgorje Bračevačko-Borovik</t>
    </r>
    <r>
      <rPr>
        <sz val="10"/>
        <rFont val="Arial"/>
        <family val="2"/>
      </rPr>
      <t>- Paučje - Breznica Đakovačka (Ž 4144)</t>
    </r>
  </si>
  <si>
    <r>
      <t xml:space="preserve">D 515 </t>
    </r>
    <r>
      <rPr>
        <sz val="8"/>
        <rFont val="Arial"/>
        <family val="2"/>
      </rPr>
      <t xml:space="preserve">(Razbojište-Bračevci) </t>
    </r>
    <r>
      <rPr>
        <sz val="10"/>
        <rFont val="Arial"/>
        <family val="2"/>
      </rPr>
      <t>- Bučje Gorjansko</t>
    </r>
  </si>
  <si>
    <r>
      <t xml:space="preserve">D 515 </t>
    </r>
    <r>
      <rPr>
        <sz val="8"/>
        <rFont val="Arial"/>
        <family val="2"/>
      </rPr>
      <t>(Bračevci-Potnjani)</t>
    </r>
    <r>
      <rPr>
        <sz val="10"/>
        <rFont val="Arial"/>
        <family val="2"/>
      </rPr>
      <t xml:space="preserve"> - Paljevina - Drenje (Ž 4118)</t>
    </r>
  </si>
  <si>
    <t>Slatinik Drenjski (Ž 4119) - Paljevina - Potnjani  (D 515)</t>
  </si>
  <si>
    <t>Potnjani (D 515) - Gorjani (Ž 4128)</t>
  </si>
  <si>
    <r>
      <t xml:space="preserve">D 515 </t>
    </r>
    <r>
      <rPr>
        <sz val="8"/>
        <rFont val="Arial"/>
        <family val="2"/>
      </rPr>
      <t>(Bijela Vila)</t>
    </r>
    <r>
      <rPr>
        <sz val="10"/>
        <rFont val="Arial"/>
        <family val="2"/>
      </rPr>
      <t xml:space="preserve"> - Gorjani (L 44103) </t>
    </r>
  </si>
  <si>
    <t>Krndija (Ž 4106) - Gorjani (Ž 4128)</t>
  </si>
  <si>
    <r>
      <t>Ž 4107</t>
    </r>
    <r>
      <rPr>
        <sz val="8"/>
        <rFont val="Arial"/>
        <family val="2"/>
      </rPr>
      <t xml:space="preserve">(Beketinci) </t>
    </r>
    <r>
      <rPr>
        <sz val="10"/>
        <rFont val="Arial"/>
        <family val="2"/>
      </rPr>
      <t xml:space="preserve">- Vuka (D 7) </t>
    </r>
  </si>
  <si>
    <r>
      <t>D 7</t>
    </r>
    <r>
      <rPr>
        <sz val="8"/>
        <rFont val="Arial"/>
        <family val="2"/>
      </rPr>
      <t xml:space="preserve">(Vuka) </t>
    </r>
    <r>
      <rPr>
        <sz val="10"/>
        <rFont val="Arial"/>
        <family val="2"/>
      </rPr>
      <t>- Hrastovac - Dopsin (Ž 4110)</t>
    </r>
  </si>
  <si>
    <t>Široko Polje (D 7) - Semeljci (Ž 4130)</t>
  </si>
  <si>
    <t>Ž 4109 - Hrastin - Koprivna - Šodolovci (Ž 4130)</t>
  </si>
  <si>
    <t>Antunovac (D 518) - A.G. Grada Osijeka</t>
  </si>
  <si>
    <r>
      <t>Laslovo (Ž 4121)</t>
    </r>
    <r>
      <rPr>
        <sz val="8"/>
        <rFont val="Arial"/>
        <family val="2"/>
      </rPr>
      <t>(Vendelovo)</t>
    </r>
    <r>
      <rPr>
        <sz val="10"/>
        <rFont val="Arial"/>
        <family val="2"/>
      </rPr>
      <t>-L 44112</t>
    </r>
    <r>
      <rPr>
        <sz val="8"/>
        <rFont val="Arial"/>
        <family val="2"/>
      </rPr>
      <t>(Vrbik-Betin dvor)</t>
    </r>
    <r>
      <rPr>
        <sz val="10"/>
        <rFont val="Arial"/>
        <family val="2"/>
      </rPr>
      <t xml:space="preserve"> - A.G. Grada Osijeka</t>
    </r>
  </si>
  <si>
    <t>Nije uračunata sitna kamena kocka u dužini od 1,4 km</t>
  </si>
  <si>
    <r>
      <t>D 518</t>
    </r>
    <r>
      <rPr>
        <sz val="8"/>
        <rFont val="Arial"/>
        <family val="2"/>
      </rPr>
      <t xml:space="preserve">(Ernestinovo) </t>
    </r>
    <r>
      <rPr>
        <sz val="10"/>
        <rFont val="Arial"/>
        <family val="2"/>
      </rPr>
      <t>- L 44111</t>
    </r>
    <r>
      <rPr>
        <sz val="8"/>
        <rFont val="Arial"/>
        <family val="2"/>
      </rPr>
      <t>(Laslovo-Vrbik-Betin dvor)</t>
    </r>
  </si>
  <si>
    <t>Ž4091 - Ćelije - Bobota (Ž 4111)</t>
  </si>
  <si>
    <r>
      <t xml:space="preserve">D 2 </t>
    </r>
    <r>
      <rPr>
        <sz val="8"/>
        <rFont val="Arial"/>
        <family val="2"/>
      </rPr>
      <t>(ekonomija Klisa)</t>
    </r>
    <r>
      <rPr>
        <sz val="10"/>
        <rFont val="Arial"/>
        <family val="2"/>
      </rPr>
      <t xml:space="preserve"> - L 44086 </t>
    </r>
    <r>
      <rPr>
        <sz val="8"/>
        <rFont val="Arial"/>
        <family val="2"/>
      </rPr>
      <t>(Marinovci)</t>
    </r>
  </si>
  <si>
    <r>
      <t xml:space="preserve">L 44086 </t>
    </r>
    <r>
      <rPr>
        <sz val="8"/>
        <rFont val="Arial"/>
        <family val="2"/>
      </rPr>
      <t xml:space="preserve">(Marinovci-Vera) </t>
    </r>
    <r>
      <rPr>
        <sz val="10"/>
        <rFont val="Arial"/>
        <family val="2"/>
      </rPr>
      <t xml:space="preserve">- D 519 </t>
    </r>
    <r>
      <rPr>
        <sz val="8"/>
        <rFont val="Arial"/>
        <family val="2"/>
      </rPr>
      <t>(ekonomija Lovas - Borovo selo)</t>
    </r>
  </si>
  <si>
    <r>
      <t xml:space="preserve">Milinac - L 44099 </t>
    </r>
    <r>
      <rPr>
        <sz val="8"/>
        <rFont val="Arial"/>
        <family val="2"/>
      </rPr>
      <t>(Paučje-Breznica Đak.)</t>
    </r>
  </si>
  <si>
    <t>Slobodna Vlast (D 38) - Ratkov Dol</t>
  </si>
  <si>
    <t>D 38 - Musić</t>
  </si>
  <si>
    <t>Ovčara - D 38</t>
  </si>
  <si>
    <t>Hrkanovci Đakovački - Trnava (Ž 4163)</t>
  </si>
  <si>
    <r>
      <t>L 44121</t>
    </r>
    <r>
      <rPr>
        <sz val="8"/>
        <rFont val="Arial"/>
        <family val="2"/>
      </rPr>
      <t xml:space="preserve">(Hrkanovci Đak.-Trnava) </t>
    </r>
    <r>
      <rPr>
        <sz val="10"/>
        <rFont val="Arial"/>
        <family val="2"/>
      </rPr>
      <t>- Lapovci (Ž 4189)</t>
    </r>
  </si>
  <si>
    <r>
      <t xml:space="preserve">Ž 4118 </t>
    </r>
    <r>
      <rPr>
        <sz val="8"/>
        <rFont val="Arial"/>
        <family val="2"/>
      </rPr>
      <t>Mandičevac</t>
    </r>
    <r>
      <rPr>
        <sz val="10"/>
        <rFont val="Arial"/>
        <family val="2"/>
      </rPr>
      <t>-Pridvorje-Preslatinci (L 44124)</t>
    </r>
  </si>
  <si>
    <r>
      <t>Kućanci Đakovački(Ž 4118) -</t>
    </r>
    <r>
      <rPr>
        <sz val="8"/>
        <rFont val="Arial"/>
        <family val="2"/>
      </rPr>
      <t>Preslatinci</t>
    </r>
    <r>
      <rPr>
        <sz val="10"/>
        <rFont val="Arial"/>
        <family val="2"/>
      </rPr>
      <t xml:space="preserve"> - Ž 4129</t>
    </r>
    <r>
      <rPr>
        <sz val="8"/>
        <rFont val="Arial"/>
        <family val="2"/>
      </rPr>
      <t xml:space="preserve"> (Gašinci)</t>
    </r>
  </si>
  <si>
    <t>Gašinci (Ž 4129) - Selci Đakovački (D 38)</t>
  </si>
  <si>
    <t>L 44126- N.Perkovci - St.Perkovci (Ž 4190)</t>
  </si>
  <si>
    <r>
      <t>Svetoblažje (Ž4164) – Ž4163</t>
    </r>
    <r>
      <rPr>
        <sz val="8"/>
        <rFont val="Arial"/>
        <family val="2"/>
      </rPr>
      <t xml:space="preserve"> (Trnava)</t>
    </r>
  </si>
  <si>
    <r>
      <t>Đakovo(Ž 4146)-</t>
    </r>
    <r>
      <rPr>
        <sz val="8"/>
        <rFont val="Arial"/>
        <family val="2"/>
      </rPr>
      <t>(k.Tomislava-Pobjede-D.Domjanića)</t>
    </r>
    <r>
      <rPr>
        <sz val="10"/>
        <rFont val="Arial"/>
        <family val="2"/>
      </rPr>
      <t>-L44134</t>
    </r>
    <r>
      <rPr>
        <sz val="8"/>
        <rFont val="Arial"/>
        <family val="2"/>
      </rPr>
      <t>(Đ.Pisak-Đurđanci)</t>
    </r>
  </si>
  <si>
    <r>
      <t>Semeljci (Ž 4130) -</t>
    </r>
    <r>
      <rPr>
        <sz val="8"/>
        <rFont val="Arial"/>
        <family val="2"/>
      </rPr>
      <t>(Adruševac)</t>
    </r>
    <r>
      <rPr>
        <sz val="10"/>
        <rFont val="Arial"/>
        <family val="2"/>
      </rPr>
      <t>- Đurđanci - D 46</t>
    </r>
  </si>
  <si>
    <r>
      <t xml:space="preserve">L 44134 </t>
    </r>
    <r>
      <rPr>
        <sz val="8"/>
        <rFont val="Arial"/>
        <family val="2"/>
      </rPr>
      <t xml:space="preserve">(Đurđanci) </t>
    </r>
    <r>
      <rPr>
        <sz val="10"/>
        <rFont val="Arial"/>
        <family val="2"/>
      </rPr>
      <t>- Vrbica (Ž 4133)</t>
    </r>
  </si>
  <si>
    <r>
      <t>Budrovci (D 46) - D 7</t>
    </r>
    <r>
      <rPr>
        <sz val="8"/>
        <rFont val="Arial"/>
        <family val="2"/>
      </rPr>
      <t xml:space="preserve"> (Piškorevci)</t>
    </r>
  </si>
  <si>
    <r>
      <t>D 7</t>
    </r>
    <r>
      <rPr>
        <sz val="8"/>
        <rFont val="Arial"/>
        <family val="2"/>
      </rPr>
      <t xml:space="preserve">(Đakovo) </t>
    </r>
    <r>
      <rPr>
        <sz val="10"/>
        <rFont val="Arial"/>
        <family val="2"/>
      </rPr>
      <t>- Piškorevci (Ž 4165)</t>
    </r>
  </si>
  <si>
    <r>
      <t xml:space="preserve">D 7 - Ž 4202 </t>
    </r>
    <r>
      <rPr>
        <sz val="8"/>
        <rFont val="Arial"/>
        <family val="2"/>
      </rPr>
      <t>(Strizivojna)</t>
    </r>
  </si>
  <si>
    <t>Čeminac (D 7) - Grabovac (Ž 4042)</t>
  </si>
  <si>
    <t>D38 - Svetoblažje - Dragotin (Ž 4292)</t>
  </si>
  <si>
    <t>prosječna širina lokalne ceste</t>
  </si>
  <si>
    <t>Ukupno Ž i L ceste:</t>
  </si>
  <si>
    <t>Uže od 5 metara:</t>
  </si>
  <si>
    <t>km</t>
  </si>
  <si>
    <t>Rekapitulacija</t>
  </si>
  <si>
    <t>suvremeni kolnik</t>
  </si>
  <si>
    <t>ostali kolnik</t>
  </si>
  <si>
    <t>Ukupno</t>
  </si>
  <si>
    <t>asfalt naseljena mjesta</t>
  </si>
  <si>
    <t>ostali kolnik naseljena mjesta</t>
  </si>
  <si>
    <t>ukupno naseljena mjesta</t>
  </si>
  <si>
    <t>Ukupna površina kolnika</t>
  </si>
  <si>
    <t>Ukupna prosječna širina kolnika</t>
  </si>
  <si>
    <t>Županijske ceste</t>
  </si>
  <si>
    <t>Lokalne ceste</t>
  </si>
  <si>
    <t>Prosječna širina asfaltnih kolnika županijskih i lokalnih cesta</t>
  </si>
  <si>
    <t xml:space="preserve">Broj </t>
  </si>
  <si>
    <t>Razvrstavanje 96/2016</t>
  </si>
  <si>
    <t>ceste</t>
  </si>
  <si>
    <r>
      <t xml:space="preserve">D 34 D. Miholjac </t>
    </r>
    <r>
      <rPr>
        <sz val="8"/>
        <rFont val="Arial"/>
        <family val="2"/>
      </rPr>
      <t xml:space="preserve">(Mihanovića-P. Radića) </t>
    </r>
    <r>
      <rPr>
        <sz val="10"/>
        <rFont val="Arial"/>
        <family val="2"/>
      </rPr>
      <t>- Ivanovo</t>
    </r>
  </si>
  <si>
    <t>Torjanci - N.Nevesinje - D 517</t>
  </si>
  <si>
    <t>D 517 - Novi Bezdan</t>
  </si>
  <si>
    <r>
      <t xml:space="preserve">Valpovo(Ž 4051)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- D 34 - Harkanovci - Koška (D2)</t>
    </r>
  </si>
  <si>
    <r>
      <t>T.L. "Tikveški dvorac" - Ž 4056</t>
    </r>
    <r>
      <rPr>
        <sz val="8"/>
        <rFont val="Arial"/>
        <family val="2"/>
      </rPr>
      <t xml:space="preserve"> (Kozjak)</t>
    </r>
  </si>
  <si>
    <r>
      <t>Lug (Ž 4042) - Kozjak</t>
    </r>
    <r>
      <rPr>
        <sz val="8"/>
        <rFont val="Arial"/>
        <family val="2"/>
      </rPr>
      <t>-Podunavlje</t>
    </r>
    <r>
      <rPr>
        <sz val="10"/>
        <rFont val="Arial"/>
        <family val="2"/>
      </rPr>
      <t>- Kopačevo - Ž 4042</t>
    </r>
    <r>
      <rPr>
        <sz val="8"/>
        <rFont val="Arial"/>
        <family val="2"/>
      </rPr>
      <t xml:space="preserve"> (Bilje)</t>
    </r>
  </si>
  <si>
    <t>D 2 - Vučjak Feričanački - Đurđenovac - Pribiševci - D 53</t>
  </si>
  <si>
    <r>
      <t>Ž 4075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- Našičko Novo Selo - Gabrilovac (Ž4075)</t>
    </r>
  </si>
  <si>
    <t>Ličko Novo Selo (Ž4076) - Brezik Našički - D2</t>
  </si>
  <si>
    <t>D53 - Lila - Ribnjak - Lađanska  - D2</t>
  </si>
  <si>
    <r>
      <t xml:space="preserve">Seona - D 2 </t>
    </r>
    <r>
      <rPr>
        <sz val="8"/>
        <rFont val="Arial"/>
        <family val="2"/>
      </rPr>
      <t>(Martin-Našice)</t>
    </r>
  </si>
  <si>
    <r>
      <t>D 7</t>
    </r>
    <r>
      <rPr>
        <sz val="8"/>
        <rFont val="Arial"/>
        <family val="2"/>
      </rPr>
      <t xml:space="preserve">(Vuka) </t>
    </r>
    <r>
      <rPr>
        <sz val="10"/>
        <rFont val="Arial"/>
        <family val="2"/>
      </rPr>
      <t>- Lipovac Hrastinski - Koritna - Ž 4130</t>
    </r>
  </si>
  <si>
    <t>Satnica Đakovačka(D 515)-Gašinci-Kondrić-D 38</t>
  </si>
  <si>
    <r>
      <t>D 7</t>
    </r>
    <r>
      <rPr>
        <sz val="8"/>
        <rFont val="Arial"/>
        <family val="2"/>
      </rPr>
      <t>(Kuševac)</t>
    </r>
    <r>
      <rPr>
        <sz val="10"/>
        <rFont val="Arial"/>
        <family val="2"/>
      </rPr>
      <t>-Viškovci</t>
    </r>
    <r>
      <rPr>
        <sz val="8"/>
        <rFont val="Arial"/>
        <family val="2"/>
      </rPr>
      <t>-Forkuševci</t>
    </r>
    <r>
      <rPr>
        <sz val="10"/>
        <rFont val="Arial"/>
        <family val="2"/>
      </rPr>
      <t>-Semeljci</t>
    </r>
    <r>
      <rPr>
        <sz val="8"/>
        <rFont val="Arial"/>
        <family val="2"/>
      </rPr>
      <t>-Koritna</t>
    </r>
    <r>
      <rPr>
        <sz val="10"/>
        <rFont val="Arial"/>
        <family val="2"/>
      </rPr>
      <t xml:space="preserve">-Šodolovci-Petrova Slatina - D518 </t>
    </r>
    <r>
      <rPr>
        <sz val="8"/>
        <rFont val="Arial"/>
        <family val="2"/>
      </rPr>
      <t>(Ernestinovo)</t>
    </r>
  </si>
  <si>
    <t>Breznica Đakovačka (L44099) - D 38</t>
  </si>
  <si>
    <r>
      <t xml:space="preserve">Tomašanci (Ž 4106) - Ivanovci Gorjanski - D 7 </t>
    </r>
    <r>
      <rPr>
        <sz val="8"/>
        <rFont val="Arial"/>
        <family val="2"/>
      </rPr>
      <t>(Kuševac)</t>
    </r>
  </si>
  <si>
    <t>D7 - Šečerana - Šumarina - D517</t>
  </si>
  <si>
    <t>D. Mihjoljac: D53 - D34</t>
  </si>
  <si>
    <t>Našice: D2 - Ž4168</t>
  </si>
  <si>
    <r>
      <t>L 44013</t>
    </r>
    <r>
      <rPr>
        <sz val="8"/>
        <rFont val="Arial"/>
        <family val="2"/>
      </rPr>
      <t xml:space="preserve"> (Golinci)</t>
    </r>
    <r>
      <rPr>
        <sz val="10"/>
        <rFont val="Arial"/>
        <family val="2"/>
      </rPr>
      <t xml:space="preserve"> - Krunoslavje - Ž 4031 </t>
    </r>
    <r>
      <rPr>
        <sz val="8"/>
        <rFont val="Arial"/>
        <family val="2"/>
      </rPr>
      <t>(Kućanci)</t>
    </r>
  </si>
  <si>
    <r>
      <t>Podgajci Podravski(D 34)</t>
    </r>
    <r>
      <rPr>
        <sz val="8"/>
        <rFont val="Arial"/>
        <family val="2"/>
      </rPr>
      <t>-Bočkinci</t>
    </r>
    <r>
      <rPr>
        <sz val="10"/>
        <rFont val="Arial"/>
        <family val="2"/>
      </rPr>
      <t xml:space="preserve">-Ž 4047 </t>
    </r>
    <r>
      <rPr>
        <sz val="8"/>
        <rFont val="Arial"/>
        <family val="2"/>
      </rPr>
      <t>(Čamagajevci)</t>
    </r>
  </si>
  <si>
    <t>Marijanci (Ž 4049) - Marjanski Ivanovci - Ž 4052</t>
  </si>
  <si>
    <t>A.G. Grada Osijeka - Ž 4089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</si>
</sst>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_-;\-* #,##0.00_-;_-* \-??_-;_-@_-"/>
    <numFmt numFmtId="165" formatCode="#,##0.000"/>
    <numFmt numFmtId="166" formatCode="_-* #,##0.000_-;\-* #,##0.000_-;_-* \-??_-;_-@_-"/>
    <numFmt numFmtId="167" formatCode="0.0"/>
    <numFmt numFmtId="168" formatCode="0.000"/>
    <numFmt numFmtId="169" formatCode="#,##0.000_ ;\-#,##0.000\ "/>
  </numFmts>
  <fonts count="47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37"/>
      <name val="Arial"/>
      <family val="2"/>
    </font>
    <font>
      <sz val="10"/>
      <color indexed="3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165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 vertical="top"/>
    </xf>
    <xf numFmtId="0" fontId="0" fillId="0" borderId="22" xfId="0" applyFont="1" applyFill="1" applyBorder="1" applyAlignment="1">
      <alignment vertical="center" wrapText="1"/>
    </xf>
    <xf numFmtId="165" fontId="0" fillId="0" borderId="22" xfId="0" applyNumberFormat="1" applyFont="1" applyFill="1" applyBorder="1" applyAlignment="1">
      <alignment wrapText="1"/>
    </xf>
    <xf numFmtId="166" fontId="0" fillId="0" borderId="22" xfId="42" applyNumberFormat="1" applyFont="1" applyFill="1" applyBorder="1" applyAlignment="1" applyProtection="1">
      <alignment/>
      <protection/>
    </xf>
    <xf numFmtId="166" fontId="1" fillId="0" borderId="23" xfId="42" applyNumberFormat="1" applyFont="1" applyFill="1" applyBorder="1" applyAlignment="1" applyProtection="1">
      <alignment/>
      <protection/>
    </xf>
    <xf numFmtId="166" fontId="1" fillId="0" borderId="24" xfId="42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166" fontId="5" fillId="0" borderId="23" xfId="42" applyNumberFormat="1" applyFont="1" applyFill="1" applyBorder="1" applyAlignment="1" applyProtection="1">
      <alignment/>
      <protection/>
    </xf>
    <xf numFmtId="168" fontId="6" fillId="0" borderId="0" xfId="0" applyNumberFormat="1" applyFont="1" applyAlignment="1">
      <alignment/>
    </xf>
    <xf numFmtId="0" fontId="1" fillId="0" borderId="22" xfId="0" applyFont="1" applyFill="1" applyBorder="1" applyAlignment="1">
      <alignment horizontal="right" vertical="top" wrapText="1"/>
    </xf>
    <xf numFmtId="0" fontId="1" fillId="0" borderId="25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vertical="center" wrapText="1"/>
    </xf>
    <xf numFmtId="165" fontId="0" fillId="0" borderId="25" xfId="0" applyNumberFormat="1" applyFont="1" applyFill="1" applyBorder="1" applyAlignment="1">
      <alignment wrapText="1"/>
    </xf>
    <xf numFmtId="166" fontId="0" fillId="0" borderId="25" xfId="42" applyNumberFormat="1" applyFont="1" applyFill="1" applyBorder="1" applyAlignment="1" applyProtection="1">
      <alignment/>
      <protection/>
    </xf>
    <xf numFmtId="0" fontId="1" fillId="0" borderId="26" xfId="0" applyFont="1" applyFill="1" applyBorder="1" applyAlignment="1">
      <alignment horizontal="right" vertical="top" wrapText="1"/>
    </xf>
    <xf numFmtId="0" fontId="0" fillId="0" borderId="26" xfId="0" applyFont="1" applyFill="1" applyBorder="1" applyAlignment="1">
      <alignment vertical="center" wrapText="1"/>
    </xf>
    <xf numFmtId="165" fontId="0" fillId="0" borderId="26" xfId="0" applyNumberFormat="1" applyFont="1" applyFill="1" applyBorder="1" applyAlignment="1">
      <alignment wrapText="1"/>
    </xf>
    <xf numFmtId="166" fontId="0" fillId="0" borderId="26" xfId="42" applyNumberFormat="1" applyFont="1" applyFill="1" applyBorder="1" applyAlignment="1" applyProtection="1">
      <alignment/>
      <protection/>
    </xf>
    <xf numFmtId="166" fontId="1" fillId="0" borderId="27" xfId="42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>
      <alignment horizontal="right" vertical="top" wrapText="1"/>
    </xf>
    <xf numFmtId="0" fontId="0" fillId="0" borderId="28" xfId="0" applyFont="1" applyFill="1" applyBorder="1" applyAlignment="1">
      <alignment vertical="center" wrapText="1"/>
    </xf>
    <xf numFmtId="165" fontId="0" fillId="0" borderId="28" xfId="0" applyNumberFormat="1" applyFont="1" applyFill="1" applyBorder="1" applyAlignment="1">
      <alignment wrapText="1"/>
    </xf>
    <xf numFmtId="166" fontId="0" fillId="0" borderId="28" xfId="42" applyNumberFormat="1" applyFont="1" applyFill="1" applyBorder="1" applyAlignment="1" applyProtection="1">
      <alignment/>
      <protection/>
    </xf>
    <xf numFmtId="166" fontId="1" fillId="0" borderId="29" xfId="42" applyNumberFormat="1" applyFont="1" applyFill="1" applyBorder="1" applyAlignment="1" applyProtection="1">
      <alignment/>
      <protection/>
    </xf>
    <xf numFmtId="166" fontId="1" fillId="0" borderId="16" xfId="42" applyNumberFormat="1" applyFont="1" applyFill="1" applyBorder="1" applyAlignment="1" applyProtection="1">
      <alignment/>
      <protection/>
    </xf>
    <xf numFmtId="0" fontId="1" fillId="0" borderId="30" xfId="0" applyFont="1" applyFill="1" applyBorder="1" applyAlignment="1">
      <alignment vertical="top"/>
    </xf>
    <xf numFmtId="0" fontId="1" fillId="0" borderId="30" xfId="0" applyFont="1" applyFill="1" applyBorder="1" applyAlignment="1">
      <alignment vertical="center"/>
    </xf>
    <xf numFmtId="166" fontId="1" fillId="0" borderId="30" xfId="42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/>
    </xf>
    <xf numFmtId="166" fontId="0" fillId="0" borderId="0" xfId="42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166" fontId="6" fillId="0" borderId="22" xfId="42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33" xfId="0" applyFont="1" applyFill="1" applyBorder="1" applyAlignment="1">
      <alignment/>
    </xf>
    <xf numFmtId="0" fontId="1" fillId="0" borderId="33" xfId="0" applyFont="1" applyFill="1" applyBorder="1" applyAlignment="1">
      <alignment vertical="center"/>
    </xf>
    <xf numFmtId="165" fontId="1" fillId="0" borderId="34" xfId="42" applyNumberFormat="1" applyFont="1" applyFill="1" applyBorder="1" applyAlignment="1" applyProtection="1">
      <alignment/>
      <protection/>
    </xf>
    <xf numFmtId="166" fontId="1" fillId="0" borderId="34" xfId="42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66" fontId="7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/>
    </xf>
    <xf numFmtId="165" fontId="9" fillId="0" borderId="34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/>
    </xf>
    <xf numFmtId="165" fontId="0" fillId="0" borderId="3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65" fontId="0" fillId="0" borderId="28" xfId="0" applyNumberFormat="1" applyFont="1" applyFill="1" applyBorder="1" applyAlignment="1">
      <alignment/>
    </xf>
    <xf numFmtId="166" fontId="0" fillId="0" borderId="28" xfId="0" applyNumberFormat="1" applyFont="1" applyFill="1" applyBorder="1" applyAlignment="1">
      <alignment/>
    </xf>
    <xf numFmtId="165" fontId="0" fillId="0" borderId="37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9" fontId="0" fillId="0" borderId="17" xfId="0" applyNumberFormat="1" applyFont="1" applyFill="1" applyBorder="1" applyAlignment="1">
      <alignment/>
    </xf>
    <xf numFmtId="165" fontId="0" fillId="0" borderId="38" xfId="0" applyNumberFormat="1" applyFont="1" applyFill="1" applyBorder="1" applyAlignment="1">
      <alignment/>
    </xf>
    <xf numFmtId="0" fontId="0" fillId="0" borderId="39" xfId="0" applyFont="1" applyBorder="1" applyAlignment="1">
      <alignment wrapText="1"/>
    </xf>
    <xf numFmtId="2" fontId="0" fillId="0" borderId="40" xfId="0" applyNumberFormat="1" applyBorder="1" applyAlignment="1">
      <alignment vertical="center"/>
    </xf>
    <xf numFmtId="0" fontId="1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right" vertical="top" wrapText="1"/>
    </xf>
    <xf numFmtId="0" fontId="0" fillId="0" borderId="41" xfId="0" applyFont="1" applyFill="1" applyBorder="1" applyAlignment="1">
      <alignment vertical="center" wrapText="1"/>
    </xf>
    <xf numFmtId="165" fontId="0" fillId="0" borderId="41" xfId="0" applyNumberFormat="1" applyFont="1" applyFill="1" applyBorder="1" applyAlignment="1">
      <alignment wrapText="1"/>
    </xf>
    <xf numFmtId="166" fontId="0" fillId="0" borderId="41" xfId="42" applyNumberFormat="1" applyFont="1" applyFill="1" applyBorder="1" applyAlignment="1" applyProtection="1">
      <alignment/>
      <protection/>
    </xf>
    <xf numFmtId="166" fontId="1" fillId="0" borderId="42" xfId="42" applyNumberFormat="1" applyFont="1" applyFill="1" applyBorder="1" applyAlignment="1" applyProtection="1">
      <alignment/>
      <protection/>
    </xf>
    <xf numFmtId="165" fontId="10" fillId="0" borderId="22" xfId="0" applyNumberFormat="1" applyFont="1" applyFill="1" applyBorder="1" applyAlignment="1">
      <alignment wrapText="1"/>
    </xf>
    <xf numFmtId="166" fontId="10" fillId="0" borderId="22" xfId="42" applyNumberFormat="1" applyFont="1" applyFill="1" applyBorder="1" applyAlignment="1" applyProtection="1">
      <alignment/>
      <protection/>
    </xf>
    <xf numFmtId="0" fontId="11" fillId="0" borderId="22" xfId="0" applyFont="1" applyFill="1" applyBorder="1" applyAlignment="1">
      <alignment vertical="top"/>
    </xf>
    <xf numFmtId="0" fontId="12" fillId="0" borderId="22" xfId="0" applyFont="1" applyFill="1" applyBorder="1" applyAlignment="1">
      <alignment vertical="center" wrapText="1"/>
    </xf>
    <xf numFmtId="165" fontId="12" fillId="0" borderId="22" xfId="0" applyNumberFormat="1" applyFont="1" applyFill="1" applyBorder="1" applyAlignment="1">
      <alignment wrapText="1"/>
    </xf>
    <xf numFmtId="166" fontId="12" fillId="0" borderId="22" xfId="42" applyNumberFormat="1" applyFont="1" applyFill="1" applyBorder="1" applyAlignment="1" applyProtection="1">
      <alignment/>
      <protection/>
    </xf>
    <xf numFmtId="166" fontId="11" fillId="0" borderId="23" xfId="42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37"/>
  <sheetViews>
    <sheetView showZeros="0" tabSelected="1" zoomScalePageLayoutView="0" workbookViewId="0" topLeftCell="A4">
      <pane xSplit="8" ySplit="3" topLeftCell="AV7" activePane="bottomRight" state="frozen"/>
      <selection pane="topLeft" activeCell="A4" sqref="A4"/>
      <selection pane="topRight" activeCell="AV4" sqref="AV4"/>
      <selection pane="bottomLeft" activeCell="A174" sqref="A174"/>
      <selection pane="bottomRight" activeCell="AY207" sqref="AY207"/>
    </sheetView>
  </sheetViews>
  <sheetFormatPr defaultColWidth="11.57421875" defaultRowHeight="12.75"/>
  <cols>
    <col min="1" max="1" width="8.28125" style="0" customWidth="1"/>
    <col min="2" max="2" width="43.00390625" style="0" customWidth="1"/>
  </cols>
  <sheetData>
    <row r="1" spans="1:8" ht="17.25">
      <c r="A1" s="1"/>
      <c r="B1" s="2" t="s">
        <v>0</v>
      </c>
      <c r="C1" s="3"/>
      <c r="D1" s="4"/>
      <c r="E1" s="4"/>
      <c r="F1" s="4"/>
      <c r="G1" s="4"/>
      <c r="H1" s="4"/>
    </row>
    <row r="2" spans="1:8" ht="12">
      <c r="A2" s="5"/>
      <c r="B2" s="6"/>
      <c r="C2" s="7"/>
      <c r="D2" s="8"/>
      <c r="E2" s="8"/>
      <c r="F2" s="8"/>
      <c r="G2" s="8"/>
      <c r="H2" s="8"/>
    </row>
    <row r="3" spans="1:8" ht="12.75">
      <c r="A3" s="1"/>
      <c r="B3" s="9"/>
      <c r="C3" s="10"/>
      <c r="D3" s="11"/>
      <c r="E3" s="11"/>
      <c r="F3" s="11"/>
      <c r="G3" s="11"/>
      <c r="H3" s="11"/>
    </row>
    <row r="4" spans="1:8" ht="12.75" customHeight="1">
      <c r="A4" s="117" t="s">
        <v>1</v>
      </c>
      <c r="B4" s="12"/>
      <c r="C4" s="13" t="s">
        <v>2</v>
      </c>
      <c r="D4" s="14" t="s">
        <v>3</v>
      </c>
      <c r="E4" s="15" t="s">
        <v>4</v>
      </c>
      <c r="F4" s="15" t="s">
        <v>5</v>
      </c>
      <c r="G4" s="15" t="s">
        <v>3</v>
      </c>
      <c r="H4" s="15" t="s">
        <v>6</v>
      </c>
    </row>
    <row r="5" spans="1:47" ht="39">
      <c r="A5" s="117"/>
      <c r="B5" s="16" t="s">
        <v>7</v>
      </c>
      <c r="C5" s="17" t="s">
        <v>8</v>
      </c>
      <c r="D5" s="17" t="s">
        <v>2</v>
      </c>
      <c r="E5" s="18" t="s">
        <v>6</v>
      </c>
      <c r="F5" s="18" t="s">
        <v>9</v>
      </c>
      <c r="G5" s="18" t="s">
        <v>9</v>
      </c>
      <c r="H5" s="18" t="s">
        <v>9</v>
      </c>
      <c r="L5" s="19" t="s">
        <v>10</v>
      </c>
      <c r="M5" s="19" t="s">
        <v>11</v>
      </c>
      <c r="N5" s="19" t="s">
        <v>12</v>
      </c>
      <c r="O5" s="19" t="s">
        <v>11</v>
      </c>
      <c r="P5" s="19" t="s">
        <v>13</v>
      </c>
      <c r="Q5" s="19" t="s">
        <v>11</v>
      </c>
      <c r="R5" s="19" t="s">
        <v>14</v>
      </c>
      <c r="S5" s="19" t="s">
        <v>11</v>
      </c>
      <c r="T5" s="19" t="s">
        <v>15</v>
      </c>
      <c r="U5" s="19" t="s">
        <v>11</v>
      </c>
      <c r="V5" s="19" t="s">
        <v>16</v>
      </c>
      <c r="W5" s="19" t="s">
        <v>11</v>
      </c>
      <c r="X5" s="19" t="s">
        <v>17</v>
      </c>
      <c r="Y5" s="19" t="s">
        <v>11</v>
      </c>
      <c r="Z5" s="19" t="s">
        <v>18</v>
      </c>
      <c r="AA5" s="19" t="s">
        <v>11</v>
      </c>
      <c r="AB5" s="19" t="s">
        <v>19</v>
      </c>
      <c r="AC5" s="19" t="s">
        <v>11</v>
      </c>
      <c r="AD5" s="19" t="s">
        <v>20</v>
      </c>
      <c r="AE5" s="19" t="s">
        <v>11</v>
      </c>
      <c r="AF5" s="19" t="s">
        <v>21</v>
      </c>
      <c r="AG5" s="19" t="s">
        <v>11</v>
      </c>
      <c r="AH5" s="19" t="s">
        <v>22</v>
      </c>
      <c r="AI5" s="19" t="s">
        <v>11</v>
      </c>
      <c r="AJ5" s="19" t="s">
        <v>23</v>
      </c>
      <c r="AK5" s="19" t="s">
        <v>11</v>
      </c>
      <c r="AL5" s="19" t="s">
        <v>24</v>
      </c>
      <c r="AM5" s="19" t="s">
        <v>11</v>
      </c>
      <c r="AN5" s="19" t="s">
        <v>25</v>
      </c>
      <c r="AO5" s="19" t="s">
        <v>11</v>
      </c>
      <c r="AP5" s="19" t="s">
        <v>26</v>
      </c>
      <c r="AQ5" s="19" t="s">
        <v>11</v>
      </c>
      <c r="AR5" s="19" t="s">
        <v>27</v>
      </c>
      <c r="AS5" s="19" t="s">
        <v>11</v>
      </c>
      <c r="AT5" s="19" t="s">
        <v>28</v>
      </c>
      <c r="AU5" s="19" t="s">
        <v>11</v>
      </c>
    </row>
    <row r="6" spans="1:8" ht="12">
      <c r="A6" s="117"/>
      <c r="B6" s="21"/>
      <c r="C6" s="22" t="s">
        <v>36</v>
      </c>
      <c r="D6" s="22" t="s">
        <v>36</v>
      </c>
      <c r="E6" s="23" t="s">
        <v>36</v>
      </c>
      <c r="F6" s="23"/>
      <c r="G6" s="23"/>
      <c r="H6" s="23"/>
    </row>
    <row r="7" spans="1:8" ht="12.75">
      <c r="A7" s="24"/>
      <c r="B7" s="25"/>
      <c r="C7" s="26"/>
      <c r="D7" s="27"/>
      <c r="E7" s="28"/>
      <c r="F7" s="28"/>
      <c r="G7" s="28"/>
      <c r="H7" s="28"/>
    </row>
    <row r="8" spans="1:47" ht="12.75">
      <c r="A8" s="29">
        <v>4011</v>
      </c>
      <c r="B8" s="30" t="s">
        <v>37</v>
      </c>
      <c r="C8" s="31">
        <v>4.408</v>
      </c>
      <c r="D8" s="32"/>
      <c r="E8" s="33">
        <f aca="true" t="shared" si="0" ref="E8:E39">C8+D8</f>
        <v>4.408</v>
      </c>
      <c r="F8" s="33">
        <v>1</v>
      </c>
      <c r="G8" s="33"/>
      <c r="H8" s="34">
        <f aca="true" t="shared" si="1" ref="H8:H39">F8+G8</f>
        <v>1</v>
      </c>
      <c r="I8" s="35" t="e">
        <f>C8-#REF!</f>
        <v>#REF!</v>
      </c>
      <c r="J8" s="35"/>
      <c r="K8" s="35"/>
      <c r="AD8" s="36">
        <v>5</v>
      </c>
      <c r="AE8" s="37">
        <v>2.208</v>
      </c>
      <c r="AH8" s="36">
        <v>5.3</v>
      </c>
      <c r="AI8" s="37">
        <v>2.2</v>
      </c>
      <c r="AT8" s="36"/>
      <c r="AU8" s="37"/>
    </row>
    <row r="9" spans="1:47" ht="12.75">
      <c r="A9" s="29">
        <v>4017</v>
      </c>
      <c r="B9" s="30" t="s">
        <v>38</v>
      </c>
      <c r="C9" s="31">
        <v>1.763</v>
      </c>
      <c r="D9" s="32"/>
      <c r="E9" s="33">
        <f t="shared" si="0"/>
        <v>1.763</v>
      </c>
      <c r="F9" s="33">
        <v>1.763</v>
      </c>
      <c r="G9" s="33"/>
      <c r="H9" s="34">
        <f t="shared" si="1"/>
        <v>1.763</v>
      </c>
      <c r="I9" s="35" t="e">
        <f>C9-#REF!</f>
        <v>#REF!</v>
      </c>
      <c r="J9" s="35"/>
      <c r="K9" s="35"/>
      <c r="AD9" s="36">
        <v>5</v>
      </c>
      <c r="AE9" s="37">
        <v>0.4</v>
      </c>
      <c r="AJ9" s="36">
        <v>5.5</v>
      </c>
      <c r="AK9" s="37">
        <f>1.5-0.137</f>
        <v>1.363</v>
      </c>
      <c r="AL9" s="37"/>
      <c r="AM9" s="37"/>
      <c r="AN9" s="37"/>
      <c r="AO9" s="37"/>
      <c r="AT9" s="36"/>
      <c r="AU9" s="37"/>
    </row>
    <row r="10" spans="1:45" ht="12.75">
      <c r="A10" s="29">
        <v>4018</v>
      </c>
      <c r="B10" s="30" t="s">
        <v>39</v>
      </c>
      <c r="C10" s="31">
        <v>17.73</v>
      </c>
      <c r="D10" s="32">
        <v>0.556</v>
      </c>
      <c r="E10" s="33">
        <f t="shared" si="0"/>
        <v>18.286</v>
      </c>
      <c r="F10" s="33">
        <v>4.9</v>
      </c>
      <c r="G10" s="33"/>
      <c r="H10" s="34">
        <f t="shared" si="1"/>
        <v>4.9</v>
      </c>
      <c r="I10" s="35" t="e">
        <f>C10-#REF!</f>
        <v>#REF!</v>
      </c>
      <c r="J10" s="35"/>
      <c r="K10" s="35"/>
      <c r="Z10" s="36">
        <v>4.5</v>
      </c>
      <c r="AA10" s="37">
        <v>0.1</v>
      </c>
      <c r="AB10" s="37"/>
      <c r="AC10" s="37"/>
      <c r="AD10" s="36"/>
      <c r="AE10" s="37"/>
      <c r="AP10" s="36">
        <v>6</v>
      </c>
      <c r="AQ10" s="37">
        <v>14.9</v>
      </c>
      <c r="AR10" s="36">
        <v>6.2</v>
      </c>
      <c r="AS10" s="37">
        <v>1.9</v>
      </c>
    </row>
    <row r="11" spans="1:45" ht="12.75">
      <c r="A11" s="29">
        <v>4019</v>
      </c>
      <c r="B11" s="30" t="s">
        <v>40</v>
      </c>
      <c r="C11" s="31">
        <v>14.596</v>
      </c>
      <c r="D11" s="32"/>
      <c r="E11" s="33">
        <f t="shared" si="0"/>
        <v>14.596</v>
      </c>
      <c r="F11" s="33">
        <v>4.92</v>
      </c>
      <c r="G11" s="33"/>
      <c r="H11" s="34">
        <f t="shared" si="1"/>
        <v>4.92</v>
      </c>
      <c r="I11" s="35" t="e">
        <f>C11-#REF!</f>
        <v>#REF!</v>
      </c>
      <c r="J11" s="35"/>
      <c r="K11" s="35"/>
      <c r="R11" s="36">
        <v>4</v>
      </c>
      <c r="S11" s="37">
        <v>11.4</v>
      </c>
      <c r="T11" s="37"/>
      <c r="U11" s="37"/>
      <c r="V11" s="37"/>
      <c r="W11" s="37"/>
      <c r="X11" s="37"/>
      <c r="Y11" s="37"/>
      <c r="AD11" s="36">
        <v>5</v>
      </c>
      <c r="AE11" s="37">
        <f>2.8-0.004</f>
        <v>2.796</v>
      </c>
      <c r="AP11" s="36">
        <v>6</v>
      </c>
      <c r="AQ11" s="37">
        <v>0.4</v>
      </c>
      <c r="AR11" s="37"/>
      <c r="AS11" s="37"/>
    </row>
    <row r="12" spans="1:47" ht="12.75">
      <c r="A12" s="29">
        <v>4027</v>
      </c>
      <c r="B12" s="30" t="s">
        <v>41</v>
      </c>
      <c r="C12" s="31">
        <v>2.185</v>
      </c>
      <c r="D12" s="32"/>
      <c r="E12" s="33">
        <f t="shared" si="0"/>
        <v>2.185</v>
      </c>
      <c r="F12" s="33">
        <v>1.78</v>
      </c>
      <c r="G12" s="33"/>
      <c r="H12" s="34">
        <f t="shared" si="1"/>
        <v>1.78</v>
      </c>
      <c r="I12" s="35" t="e">
        <f>C12-#REF!</f>
        <v>#REF!</v>
      </c>
      <c r="J12" s="35"/>
      <c r="K12" s="35"/>
      <c r="R12" s="36">
        <v>4</v>
      </c>
      <c r="S12" s="37">
        <v>2.1</v>
      </c>
      <c r="T12" s="37"/>
      <c r="U12" s="37"/>
      <c r="V12" s="37"/>
      <c r="W12" s="37"/>
      <c r="X12" s="37"/>
      <c r="Y12" s="37"/>
      <c r="AD12" s="36">
        <v>5</v>
      </c>
      <c r="AE12" s="37">
        <f>0.1-0.015</f>
        <v>0.085</v>
      </c>
      <c r="AR12" s="37"/>
      <c r="AS12" s="37"/>
      <c r="AT12" s="36"/>
      <c r="AU12" s="37"/>
    </row>
    <row r="13" spans="1:47" ht="24.75">
      <c r="A13" s="29">
        <v>4030</v>
      </c>
      <c r="B13" s="30" t="s">
        <v>42</v>
      </c>
      <c r="C13" s="31">
        <v>7.03</v>
      </c>
      <c r="D13" s="32"/>
      <c r="E13" s="33">
        <f t="shared" si="0"/>
        <v>7.03</v>
      </c>
      <c r="F13" s="33">
        <v>2.58</v>
      </c>
      <c r="G13" s="33"/>
      <c r="H13" s="34">
        <f t="shared" si="1"/>
        <v>2.58</v>
      </c>
      <c r="I13" s="35" t="e">
        <f>C13-#REF!</f>
        <v>#REF!</v>
      </c>
      <c r="J13" s="35"/>
      <c r="K13" s="35"/>
      <c r="AP13" s="36">
        <v>6</v>
      </c>
      <c r="AQ13" s="37">
        <v>7.03</v>
      </c>
      <c r="AR13" s="37"/>
      <c r="AS13" s="37"/>
      <c r="AT13" s="36"/>
      <c r="AU13" s="37"/>
    </row>
    <row r="14" spans="1:45" ht="24.75">
      <c r="A14" s="29">
        <v>4031</v>
      </c>
      <c r="B14" s="30" t="s">
        <v>43</v>
      </c>
      <c r="C14" s="31">
        <v>39.023</v>
      </c>
      <c r="D14" s="32"/>
      <c r="E14" s="33">
        <f t="shared" si="0"/>
        <v>39.023</v>
      </c>
      <c r="F14" s="33">
        <v>14.73</v>
      </c>
      <c r="G14" s="33"/>
      <c r="H14" s="34">
        <f t="shared" si="1"/>
        <v>14.73</v>
      </c>
      <c r="I14" s="35" t="e">
        <f>C14-#REF!</f>
        <v>#REF!</v>
      </c>
      <c r="J14" s="35"/>
      <c r="K14" s="35"/>
      <c r="R14" s="36">
        <v>4</v>
      </c>
      <c r="S14" s="37">
        <f>7.89</f>
        <v>7.89</v>
      </c>
      <c r="T14" s="37"/>
      <c r="U14" s="37"/>
      <c r="V14" s="37"/>
      <c r="W14" s="37"/>
      <c r="X14" s="37"/>
      <c r="Y14" s="37"/>
      <c r="AD14" s="36">
        <v>5</v>
      </c>
      <c r="AE14" s="37">
        <v>3.66</v>
      </c>
      <c r="AF14" s="36">
        <v>5.2</v>
      </c>
      <c r="AG14" s="37">
        <f>6.6+0.023</f>
        <v>6.622999999999999</v>
      </c>
      <c r="AJ14" s="36">
        <v>5.5</v>
      </c>
      <c r="AK14" s="37">
        <v>18.25</v>
      </c>
      <c r="AL14" s="37"/>
      <c r="AM14" s="37"/>
      <c r="AN14" s="37"/>
      <c r="AO14" s="37"/>
      <c r="AP14" s="36">
        <v>6</v>
      </c>
      <c r="AQ14" s="37">
        <v>2.6</v>
      </c>
      <c r="AR14" s="37"/>
      <c r="AS14" s="37"/>
    </row>
    <row r="15" spans="1:47" ht="24.75">
      <c r="A15" s="29">
        <v>4032</v>
      </c>
      <c r="B15" s="30" t="s">
        <v>44</v>
      </c>
      <c r="C15" s="31">
        <v>9.275</v>
      </c>
      <c r="D15" s="32"/>
      <c r="E15" s="33">
        <f t="shared" si="0"/>
        <v>9.275</v>
      </c>
      <c r="F15" s="33">
        <v>3.19</v>
      </c>
      <c r="G15" s="33"/>
      <c r="H15" s="34">
        <f t="shared" si="1"/>
        <v>3.19</v>
      </c>
      <c r="I15" s="35" t="e">
        <f>C15-#REF!</f>
        <v>#REF!</v>
      </c>
      <c r="J15" s="35"/>
      <c r="K15" s="35"/>
      <c r="AF15" s="36">
        <v>5.2</v>
      </c>
      <c r="AG15" s="37">
        <f>3.2-0.025</f>
        <v>3.1750000000000003</v>
      </c>
      <c r="AJ15" s="36">
        <v>5.5</v>
      </c>
      <c r="AK15" s="37">
        <v>6.1</v>
      </c>
      <c r="AL15" s="37"/>
      <c r="AM15" s="37"/>
      <c r="AN15" s="37"/>
      <c r="AO15" s="37"/>
      <c r="AR15" s="37"/>
      <c r="AS15" s="37"/>
      <c r="AT15" s="36"/>
      <c r="AU15" s="37"/>
    </row>
    <row r="16" spans="1:47" ht="24.75">
      <c r="A16" s="29">
        <v>4033</v>
      </c>
      <c r="B16" s="30" t="s">
        <v>45</v>
      </c>
      <c r="C16" s="31">
        <v>7.198</v>
      </c>
      <c r="D16" s="32"/>
      <c r="E16" s="33">
        <f t="shared" si="0"/>
        <v>7.198</v>
      </c>
      <c r="F16" s="33">
        <v>2.22</v>
      </c>
      <c r="G16" s="33"/>
      <c r="H16" s="34">
        <f t="shared" si="1"/>
        <v>2.22</v>
      </c>
      <c r="I16" s="35" t="e">
        <f>C16-#REF!</f>
        <v>#REF!</v>
      </c>
      <c r="J16" s="35"/>
      <c r="K16" s="35"/>
      <c r="R16" s="36">
        <v>4</v>
      </c>
      <c r="S16" s="37">
        <v>7.198</v>
      </c>
      <c r="T16" s="37"/>
      <c r="U16" s="37"/>
      <c r="V16" s="37"/>
      <c r="W16" s="37"/>
      <c r="X16" s="37"/>
      <c r="Y16" s="37"/>
      <c r="AP16" s="36"/>
      <c r="AQ16" s="37"/>
      <c r="AR16" s="37"/>
      <c r="AS16" s="37"/>
      <c r="AT16" s="36"/>
      <c r="AU16" s="37"/>
    </row>
    <row r="17" spans="1:45" ht="12.75">
      <c r="A17" s="29">
        <v>4034</v>
      </c>
      <c r="B17" s="30" t="s">
        <v>46</v>
      </c>
      <c r="C17" s="31">
        <v>3.444</v>
      </c>
      <c r="D17" s="32"/>
      <c r="E17" s="33">
        <f t="shared" si="0"/>
        <v>3.444</v>
      </c>
      <c r="F17" s="33">
        <v>2.08</v>
      </c>
      <c r="G17" s="33"/>
      <c r="H17" s="34">
        <f t="shared" si="1"/>
        <v>2.08</v>
      </c>
      <c r="I17" s="35" t="e">
        <f>C17-#REF!</f>
        <v>#REF!</v>
      </c>
      <c r="J17" s="35"/>
      <c r="K17" s="35"/>
      <c r="N17" s="36">
        <v>3</v>
      </c>
      <c r="O17" s="37">
        <v>0.744</v>
      </c>
      <c r="R17" s="36">
        <v>4</v>
      </c>
      <c r="S17" s="37">
        <v>1.1</v>
      </c>
      <c r="T17" s="37"/>
      <c r="U17" s="37"/>
      <c r="V17" s="37"/>
      <c r="W17" s="37"/>
      <c r="X17" s="37"/>
      <c r="Y17" s="37"/>
      <c r="AD17" s="36">
        <v>5</v>
      </c>
      <c r="AE17" s="37">
        <v>1.6</v>
      </c>
      <c r="AR17" s="37"/>
      <c r="AS17" s="37"/>
    </row>
    <row r="18" spans="1:45" ht="12.75">
      <c r="A18" s="29">
        <v>4037</v>
      </c>
      <c r="B18" s="30" t="s">
        <v>47</v>
      </c>
      <c r="C18" s="31">
        <v>7.774</v>
      </c>
      <c r="D18" s="32"/>
      <c r="E18" s="33">
        <f t="shared" si="0"/>
        <v>7.774</v>
      </c>
      <c r="F18" s="33">
        <v>2.86</v>
      </c>
      <c r="G18" s="33"/>
      <c r="H18" s="34">
        <f t="shared" si="1"/>
        <v>2.86</v>
      </c>
      <c r="I18" s="35" t="e">
        <f>C18-#REF!</f>
        <v>#REF!</v>
      </c>
      <c r="J18" s="39"/>
      <c r="K18" s="39"/>
      <c r="R18" s="36">
        <v>4</v>
      </c>
      <c r="S18" s="37">
        <f>4.3-0.9-0.6</f>
        <v>2.8</v>
      </c>
      <c r="T18" s="37"/>
      <c r="U18" s="37"/>
      <c r="V18" s="37"/>
      <c r="W18" s="37"/>
      <c r="X18" s="37"/>
      <c r="Y18" s="37"/>
      <c r="AJ18" s="36">
        <v>5.5</v>
      </c>
      <c r="AK18" s="37">
        <f>3.4+0.9+0.6</f>
        <v>4.9</v>
      </c>
      <c r="AL18" s="37"/>
      <c r="AM18" s="37"/>
      <c r="AN18" s="37"/>
      <c r="AO18" s="37"/>
      <c r="AP18" s="36">
        <v>6</v>
      </c>
      <c r="AQ18" s="37">
        <f>0.1-0.026</f>
        <v>0.07400000000000001</v>
      </c>
      <c r="AR18" s="37"/>
      <c r="AS18" s="37"/>
    </row>
    <row r="19" spans="1:47" ht="12.75">
      <c r="A19" s="29">
        <v>4040</v>
      </c>
      <c r="B19" s="30" t="s">
        <v>48</v>
      </c>
      <c r="C19" s="31">
        <v>0.992</v>
      </c>
      <c r="D19" s="32"/>
      <c r="E19" s="33">
        <f t="shared" si="0"/>
        <v>0.992</v>
      </c>
      <c r="F19" s="33">
        <v>0.992</v>
      </c>
      <c r="G19" s="33"/>
      <c r="H19" s="34">
        <f t="shared" si="1"/>
        <v>0.992</v>
      </c>
      <c r="I19" s="35" t="e">
        <f>C19-#REF!</f>
        <v>#REF!</v>
      </c>
      <c r="J19" s="35"/>
      <c r="K19" s="35"/>
      <c r="R19" s="36">
        <v>4</v>
      </c>
      <c r="S19" s="37">
        <v>0.992</v>
      </c>
      <c r="T19" s="37"/>
      <c r="U19" s="37"/>
      <c r="V19" s="37"/>
      <c r="W19" s="37"/>
      <c r="X19" s="37"/>
      <c r="Y19" s="37"/>
      <c r="AP19" s="36"/>
      <c r="AQ19" s="37"/>
      <c r="AR19" s="37"/>
      <c r="AS19" s="37"/>
      <c r="AT19" s="36"/>
      <c r="AU19" s="37"/>
    </row>
    <row r="20" spans="1:47" ht="24.75">
      <c r="A20" s="29">
        <v>4041</v>
      </c>
      <c r="B20" s="30" t="s">
        <v>49</v>
      </c>
      <c r="C20" s="31">
        <v>18.417</v>
      </c>
      <c r="D20" s="32"/>
      <c r="E20" s="33">
        <f t="shared" si="0"/>
        <v>18.417</v>
      </c>
      <c r="F20" s="33">
        <v>11</v>
      </c>
      <c r="G20" s="33"/>
      <c r="H20" s="34">
        <f t="shared" si="1"/>
        <v>11</v>
      </c>
      <c r="I20" s="35" t="e">
        <f>C20-#REF!</f>
        <v>#REF!</v>
      </c>
      <c r="J20" s="35"/>
      <c r="K20" s="35"/>
      <c r="AP20" s="36">
        <v>6</v>
      </c>
      <c r="AQ20" s="37">
        <f>18.5-0.083</f>
        <v>18.417</v>
      </c>
      <c r="AR20" s="37"/>
      <c r="AS20" s="37"/>
      <c r="AT20" s="36"/>
      <c r="AU20" s="37"/>
    </row>
    <row r="21" spans="1:47" ht="24.75">
      <c r="A21" s="29">
        <v>4042</v>
      </c>
      <c r="B21" s="30" t="s">
        <v>50</v>
      </c>
      <c r="C21" s="31">
        <v>18.132</v>
      </c>
      <c r="D21" s="32"/>
      <c r="E21" s="33">
        <f t="shared" si="0"/>
        <v>18.132</v>
      </c>
      <c r="F21" s="33">
        <v>10.11</v>
      </c>
      <c r="G21" s="33"/>
      <c r="H21" s="34">
        <f t="shared" si="1"/>
        <v>10.11</v>
      </c>
      <c r="I21" s="35" t="e">
        <f>C21-#REF!</f>
        <v>#REF!</v>
      </c>
      <c r="J21" s="35"/>
      <c r="K21" s="35"/>
      <c r="AP21" s="36">
        <v>6</v>
      </c>
      <c r="AQ21" s="37">
        <v>7.9</v>
      </c>
      <c r="AR21" s="37"/>
      <c r="AS21" s="37"/>
      <c r="AT21" s="36"/>
      <c r="AU21" s="37"/>
    </row>
    <row r="22" spans="1:47" ht="12.75">
      <c r="A22" s="29">
        <v>4046</v>
      </c>
      <c r="B22" s="30" t="s">
        <v>51</v>
      </c>
      <c r="C22" s="31">
        <v>2.745</v>
      </c>
      <c r="D22" s="32"/>
      <c r="E22" s="33">
        <f t="shared" si="0"/>
        <v>2.745</v>
      </c>
      <c r="F22" s="33">
        <v>0.82</v>
      </c>
      <c r="G22" s="33"/>
      <c r="H22" s="34">
        <f t="shared" si="1"/>
        <v>0.82</v>
      </c>
      <c r="I22" s="35" t="e">
        <f>C22-#REF!</f>
        <v>#REF!</v>
      </c>
      <c r="J22" s="35"/>
      <c r="K22" s="35"/>
      <c r="AJ22" s="36">
        <v>5.5</v>
      </c>
      <c r="AK22" s="37">
        <v>2.745</v>
      </c>
      <c r="AL22" s="37"/>
      <c r="AM22" s="37"/>
      <c r="AN22" s="37"/>
      <c r="AO22" s="37"/>
      <c r="AP22" s="36"/>
      <c r="AQ22" s="37"/>
      <c r="AR22" s="37"/>
      <c r="AS22" s="37"/>
      <c r="AT22" s="36"/>
      <c r="AU22" s="37"/>
    </row>
    <row r="23" spans="1:47" ht="24.75">
      <c r="A23" s="29">
        <v>4047</v>
      </c>
      <c r="B23" s="30" t="s">
        <v>52</v>
      </c>
      <c r="C23" s="31">
        <v>8.603</v>
      </c>
      <c r="D23" s="32"/>
      <c r="E23" s="33">
        <f t="shared" si="0"/>
        <v>8.603</v>
      </c>
      <c r="F23" s="33">
        <v>3.13</v>
      </c>
      <c r="G23" s="33"/>
      <c r="H23" s="34">
        <f t="shared" si="1"/>
        <v>3.13</v>
      </c>
      <c r="I23" s="35" t="e">
        <f>C23-#REF!</f>
        <v>#REF!</v>
      </c>
      <c r="J23" s="35"/>
      <c r="K23" s="35"/>
      <c r="AN23" s="36">
        <v>5.8</v>
      </c>
      <c r="AO23" s="37">
        <v>1.82</v>
      </c>
      <c r="AP23" s="36">
        <v>6</v>
      </c>
      <c r="AQ23" s="37">
        <f>1.773+1.532+2.875+0.603</f>
        <v>6.7829999999999995</v>
      </c>
      <c r="AR23" s="37"/>
      <c r="AS23" s="37"/>
      <c r="AT23" s="36"/>
      <c r="AU23" s="37"/>
    </row>
    <row r="24" spans="1:47" ht="12.75">
      <c r="A24" s="29">
        <v>4048</v>
      </c>
      <c r="B24" s="30" t="s">
        <v>53</v>
      </c>
      <c r="C24" s="31">
        <v>4.156</v>
      </c>
      <c r="D24" s="32"/>
      <c r="E24" s="33">
        <f t="shared" si="0"/>
        <v>4.156</v>
      </c>
      <c r="F24" s="33">
        <v>1.6800000000000002</v>
      </c>
      <c r="G24" s="33"/>
      <c r="H24" s="34">
        <f t="shared" si="1"/>
        <v>1.6800000000000002</v>
      </c>
      <c r="I24" s="35" t="e">
        <f>C24-#REF!</f>
        <v>#REF!</v>
      </c>
      <c r="J24" s="35"/>
      <c r="K24" s="35"/>
      <c r="AD24" s="36">
        <v>5</v>
      </c>
      <c r="AE24" s="37">
        <v>2.85</v>
      </c>
      <c r="AJ24" s="36">
        <v>5.5</v>
      </c>
      <c r="AK24" s="37">
        <v>1.306</v>
      </c>
      <c r="AL24" s="37"/>
      <c r="AM24" s="37"/>
      <c r="AN24" s="37"/>
      <c r="AO24" s="37"/>
      <c r="AR24" s="37"/>
      <c r="AS24" s="37"/>
      <c r="AT24" s="36"/>
      <c r="AU24" s="37"/>
    </row>
    <row r="25" spans="1:47" ht="12.75">
      <c r="A25" s="29">
        <v>4049</v>
      </c>
      <c r="B25" s="30" t="s">
        <v>54</v>
      </c>
      <c r="C25" s="31">
        <v>9.83</v>
      </c>
      <c r="D25" s="32"/>
      <c r="E25" s="33">
        <f t="shared" si="0"/>
        <v>9.83</v>
      </c>
      <c r="F25" s="33">
        <v>2.96</v>
      </c>
      <c r="G25" s="33"/>
      <c r="H25" s="34">
        <f t="shared" si="1"/>
        <v>2.96</v>
      </c>
      <c r="I25" s="35" t="e">
        <f>C25-#REF!</f>
        <v>#REF!</v>
      </c>
      <c r="J25" s="35"/>
      <c r="K25" s="35"/>
      <c r="AN25" s="37"/>
      <c r="AO25" s="37"/>
      <c r="AP25" s="36">
        <v>6</v>
      </c>
      <c r="AQ25" s="37">
        <v>9.83</v>
      </c>
      <c r="AR25" s="37"/>
      <c r="AS25" s="37"/>
      <c r="AT25" s="36"/>
      <c r="AU25" s="37"/>
    </row>
    <row r="26" spans="1:45" ht="24.75">
      <c r="A26" s="29">
        <v>4050</v>
      </c>
      <c r="B26" s="30" t="s">
        <v>55</v>
      </c>
      <c r="C26" s="31">
        <v>2.935</v>
      </c>
      <c r="D26" s="32"/>
      <c r="E26" s="33">
        <f t="shared" si="0"/>
        <v>2.935</v>
      </c>
      <c r="F26" s="33">
        <v>2.935</v>
      </c>
      <c r="G26" s="33"/>
      <c r="H26" s="34">
        <f t="shared" si="1"/>
        <v>2.935</v>
      </c>
      <c r="I26" s="35" t="e">
        <f>C26-#REF!</f>
        <v>#REF!</v>
      </c>
      <c r="J26" s="35"/>
      <c r="K26" s="35"/>
      <c r="AN26" s="37"/>
      <c r="AO26" s="37"/>
      <c r="AP26" s="36">
        <v>6</v>
      </c>
      <c r="AQ26" s="37">
        <v>0.335</v>
      </c>
      <c r="AR26" s="37"/>
      <c r="AS26" s="37"/>
    </row>
    <row r="27" spans="1:45" ht="22.5">
      <c r="A27" s="29">
        <v>4051</v>
      </c>
      <c r="B27" s="30" t="s">
        <v>56</v>
      </c>
      <c r="C27" s="31">
        <v>4.11</v>
      </c>
      <c r="D27" s="32"/>
      <c r="E27" s="33">
        <f t="shared" si="0"/>
        <v>4.11</v>
      </c>
      <c r="F27" s="33">
        <v>4.11</v>
      </c>
      <c r="G27" s="33"/>
      <c r="H27" s="34">
        <f t="shared" si="1"/>
        <v>4.11</v>
      </c>
      <c r="I27" s="35" t="e">
        <f>C27-#REF!</f>
        <v>#REF!</v>
      </c>
      <c r="J27" s="35"/>
      <c r="K27" s="35"/>
      <c r="AN27" s="37"/>
      <c r="AO27" s="37"/>
      <c r="AP27" s="36">
        <v>6</v>
      </c>
      <c r="AQ27" s="37">
        <v>2.51</v>
      </c>
      <c r="AR27" s="37"/>
      <c r="AS27" s="37"/>
    </row>
    <row r="28" spans="1:45" ht="12.75">
      <c r="A28" s="29">
        <v>4052</v>
      </c>
      <c r="B28" s="30" t="s">
        <v>57</v>
      </c>
      <c r="C28" s="31">
        <v>1.039</v>
      </c>
      <c r="D28" s="32"/>
      <c r="E28" s="33">
        <f t="shared" si="0"/>
        <v>1.039</v>
      </c>
      <c r="F28" s="33">
        <v>1.039</v>
      </c>
      <c r="G28" s="33"/>
      <c r="H28" s="34">
        <f t="shared" si="1"/>
        <v>1.039</v>
      </c>
      <c r="I28" s="35" t="e">
        <f>C28-#REF!</f>
        <v>#REF!</v>
      </c>
      <c r="J28" s="35"/>
      <c r="K28" s="35"/>
      <c r="AD28" s="36">
        <v>5</v>
      </c>
      <c r="AE28" s="37"/>
      <c r="AN28" s="37"/>
      <c r="AO28" s="37"/>
      <c r="AP28" s="36">
        <v>6</v>
      </c>
      <c r="AQ28" s="37">
        <v>0.889</v>
      </c>
      <c r="AR28" s="37"/>
      <c r="AS28" s="37"/>
    </row>
    <row r="29" spans="1:47" ht="24.75">
      <c r="A29" s="29">
        <v>4053</v>
      </c>
      <c r="B29" s="30" t="s">
        <v>58</v>
      </c>
      <c r="C29" s="31">
        <v>5.332</v>
      </c>
      <c r="D29" s="32"/>
      <c r="E29" s="33">
        <f t="shared" si="0"/>
        <v>5.332</v>
      </c>
      <c r="F29" s="33">
        <v>2.65</v>
      </c>
      <c r="G29" s="33"/>
      <c r="H29" s="34">
        <f t="shared" si="1"/>
        <v>2.65</v>
      </c>
      <c r="I29" s="35" t="e">
        <f>C29-#REF!</f>
        <v>#REF!</v>
      </c>
      <c r="J29" s="35"/>
      <c r="K29" s="35"/>
      <c r="AD29" s="36">
        <v>5</v>
      </c>
      <c r="AE29" s="37">
        <v>4.632</v>
      </c>
      <c r="AN29" s="37"/>
      <c r="AO29" s="37"/>
      <c r="AP29" s="36">
        <v>6</v>
      </c>
      <c r="AQ29" s="37">
        <v>0.7</v>
      </c>
      <c r="AR29" s="37"/>
      <c r="AS29" s="37"/>
      <c r="AT29" s="36"/>
      <c r="AU29" s="37"/>
    </row>
    <row r="30" spans="1:47" ht="12.75">
      <c r="A30" s="29">
        <v>4054</v>
      </c>
      <c r="B30" s="30" t="s">
        <v>59</v>
      </c>
      <c r="C30" s="31">
        <v>3.32</v>
      </c>
      <c r="D30" s="32"/>
      <c r="E30" s="33">
        <f t="shared" si="0"/>
        <v>3.32</v>
      </c>
      <c r="F30" s="33">
        <v>2</v>
      </c>
      <c r="G30" s="33"/>
      <c r="H30" s="34">
        <f t="shared" si="1"/>
        <v>2</v>
      </c>
      <c r="I30" s="35" t="e">
        <f>C30-#REF!</f>
        <v>#REF!</v>
      </c>
      <c r="J30" s="35"/>
      <c r="K30" s="35"/>
      <c r="AD30" s="36">
        <v>5</v>
      </c>
      <c r="AE30" s="37">
        <v>3.32</v>
      </c>
      <c r="AN30" s="37"/>
      <c r="AO30" s="37"/>
      <c r="AP30" s="36"/>
      <c r="AQ30" s="37"/>
      <c r="AR30" s="37"/>
      <c r="AS30" s="37"/>
      <c r="AT30" s="36"/>
      <c r="AU30" s="37"/>
    </row>
    <row r="31" spans="1:45" ht="12.75">
      <c r="A31" s="29">
        <v>4055</v>
      </c>
      <c r="B31" s="30" t="s">
        <v>60</v>
      </c>
      <c r="C31" s="31">
        <v>8.33</v>
      </c>
      <c r="D31" s="32"/>
      <c r="E31" s="33">
        <f t="shared" si="0"/>
        <v>8.33</v>
      </c>
      <c r="F31" s="33">
        <v>2.29</v>
      </c>
      <c r="G31" s="33"/>
      <c r="H31" s="34">
        <f t="shared" si="1"/>
        <v>2.29</v>
      </c>
      <c r="I31" s="35" t="e">
        <f>C31-#REF!</f>
        <v>#REF!</v>
      </c>
      <c r="J31" s="35"/>
      <c r="K31" s="35"/>
      <c r="N31" s="36">
        <v>3</v>
      </c>
      <c r="O31" s="37">
        <v>7.93</v>
      </c>
      <c r="AD31" s="36">
        <v>5</v>
      </c>
      <c r="AE31" s="37">
        <v>0.1</v>
      </c>
      <c r="AJ31" s="36">
        <v>5.5</v>
      </c>
      <c r="AK31" s="37">
        <v>0.30000000000000004</v>
      </c>
      <c r="AL31" s="37"/>
      <c r="AM31" s="37"/>
      <c r="AN31" s="37"/>
      <c r="AO31" s="37"/>
      <c r="AR31" s="37"/>
      <c r="AS31" s="37"/>
    </row>
    <row r="32" spans="1:45" ht="24.75">
      <c r="A32" s="29">
        <v>4056</v>
      </c>
      <c r="B32" s="30" t="s">
        <v>61</v>
      </c>
      <c r="C32" s="31">
        <v>16.828</v>
      </c>
      <c r="D32" s="32"/>
      <c r="E32" s="33">
        <f t="shared" si="0"/>
        <v>16.828</v>
      </c>
      <c r="F32" s="33">
        <v>0.2</v>
      </c>
      <c r="G32" s="33"/>
      <c r="H32" s="34">
        <f t="shared" si="1"/>
        <v>0.2</v>
      </c>
      <c r="I32" s="35" t="e">
        <f>C32-#REF!</f>
        <v>#REF!</v>
      </c>
      <c r="J32" s="35"/>
      <c r="K32" s="35"/>
      <c r="N32" s="36">
        <v>3</v>
      </c>
      <c r="O32" s="37">
        <v>10.1</v>
      </c>
      <c r="AD32" s="36">
        <v>5</v>
      </c>
      <c r="AE32" s="37">
        <v>0.1</v>
      </c>
      <c r="AN32" s="37"/>
      <c r="AO32" s="37"/>
      <c r="AP32" s="36">
        <v>6</v>
      </c>
      <c r="AQ32" s="37">
        <f>7-0.372</f>
        <v>6.628</v>
      </c>
      <c r="AR32" s="37"/>
      <c r="AS32" s="37"/>
    </row>
    <row r="33" spans="1:45" ht="24.75">
      <c r="A33" s="29">
        <v>4058</v>
      </c>
      <c r="B33" s="30" t="s">
        <v>62</v>
      </c>
      <c r="C33" s="31">
        <v>24.161</v>
      </c>
      <c r="D33" s="32"/>
      <c r="E33" s="33">
        <f t="shared" si="0"/>
        <v>24.161</v>
      </c>
      <c r="F33" s="33">
        <v>5.23</v>
      </c>
      <c r="G33" s="33"/>
      <c r="H33" s="34">
        <f t="shared" si="1"/>
        <v>5.23</v>
      </c>
      <c r="I33" s="35" t="e">
        <f>C33-#REF!</f>
        <v>#REF!</v>
      </c>
      <c r="J33" s="35"/>
      <c r="K33" s="35"/>
      <c r="R33" s="36">
        <v>4</v>
      </c>
      <c r="S33" s="37">
        <v>2.06</v>
      </c>
      <c r="T33" s="37"/>
      <c r="U33" s="37"/>
      <c r="V33" s="37"/>
      <c r="W33" s="37"/>
      <c r="X33" s="37"/>
      <c r="Y33" s="37"/>
      <c r="AF33" s="36">
        <v>5.2</v>
      </c>
      <c r="AG33" s="37">
        <v>13.35</v>
      </c>
      <c r="AJ33" s="36">
        <v>5.5</v>
      </c>
      <c r="AK33" s="37">
        <v>8.69</v>
      </c>
      <c r="AL33" s="37"/>
      <c r="AM33" s="37"/>
      <c r="AN33" s="37"/>
      <c r="AO33" s="37"/>
      <c r="AP33" s="36">
        <v>6</v>
      </c>
      <c r="AQ33" s="37">
        <v>0.061</v>
      </c>
      <c r="AR33" s="37"/>
      <c r="AS33" s="37"/>
    </row>
    <row r="34" spans="1:47" ht="24.75">
      <c r="A34" s="29">
        <v>4059</v>
      </c>
      <c r="B34" s="30" t="s">
        <v>63</v>
      </c>
      <c r="C34" s="31">
        <v>6.69</v>
      </c>
      <c r="D34" s="32"/>
      <c r="E34" s="33">
        <f t="shared" si="0"/>
        <v>6.69</v>
      </c>
      <c r="F34" s="33">
        <v>3.85</v>
      </c>
      <c r="G34" s="33"/>
      <c r="H34" s="34">
        <f t="shared" si="1"/>
        <v>3.85</v>
      </c>
      <c r="I34" s="35" t="e">
        <f>C34-#REF!</f>
        <v>#REF!</v>
      </c>
      <c r="J34" s="35"/>
      <c r="K34" s="35"/>
      <c r="AD34" s="36">
        <v>5</v>
      </c>
      <c r="AE34" s="37">
        <v>6.69</v>
      </c>
      <c r="AN34" s="37"/>
      <c r="AO34" s="37"/>
      <c r="AP34" s="36"/>
      <c r="AQ34" s="37"/>
      <c r="AR34" s="37"/>
      <c r="AS34" s="37"/>
      <c r="AT34" s="36"/>
      <c r="AU34" s="37"/>
    </row>
    <row r="35" spans="1:47" ht="12.75">
      <c r="A35" s="29">
        <v>4060</v>
      </c>
      <c r="B35" s="30" t="s">
        <v>64</v>
      </c>
      <c r="C35" s="31">
        <v>6.718</v>
      </c>
      <c r="D35" s="32"/>
      <c r="E35" s="33">
        <f t="shared" si="0"/>
        <v>6.718</v>
      </c>
      <c r="F35" s="33">
        <v>3.29</v>
      </c>
      <c r="G35" s="33"/>
      <c r="H35" s="34">
        <f t="shared" si="1"/>
        <v>3.29</v>
      </c>
      <c r="I35" s="35" t="e">
        <f>C35-#REF!</f>
        <v>#REF!</v>
      </c>
      <c r="J35" s="35"/>
      <c r="K35" s="35"/>
      <c r="AD35" s="36">
        <v>5</v>
      </c>
      <c r="AE35" s="37">
        <v>6.718</v>
      </c>
      <c r="AN35" s="37"/>
      <c r="AO35" s="37"/>
      <c r="AP35" s="36"/>
      <c r="AQ35" s="37"/>
      <c r="AR35" s="37"/>
      <c r="AS35" s="37"/>
      <c r="AT35" s="36"/>
      <c r="AU35" s="37"/>
    </row>
    <row r="36" spans="1:47" ht="12.75">
      <c r="A36" s="29">
        <v>4061</v>
      </c>
      <c r="B36" s="30" t="s">
        <v>65</v>
      </c>
      <c r="C36" s="31">
        <v>7.392</v>
      </c>
      <c r="D36" s="32"/>
      <c r="E36" s="33">
        <f t="shared" si="0"/>
        <v>7.392</v>
      </c>
      <c r="F36" s="33">
        <v>3.95</v>
      </c>
      <c r="G36" s="33"/>
      <c r="H36" s="34">
        <f t="shared" si="1"/>
        <v>3.95</v>
      </c>
      <c r="I36" s="35" t="e">
        <f>C36-#REF!</f>
        <v>#REF!</v>
      </c>
      <c r="J36" s="35"/>
      <c r="K36" s="35"/>
      <c r="AD36" s="36">
        <v>5</v>
      </c>
      <c r="AE36" s="37">
        <f>7.4-0.008</f>
        <v>7.392</v>
      </c>
      <c r="AN36" s="37"/>
      <c r="AO36" s="37"/>
      <c r="AP36" s="36"/>
      <c r="AQ36" s="37"/>
      <c r="AR36" s="37"/>
      <c r="AS36" s="37"/>
      <c r="AT36" s="36"/>
      <c r="AU36" s="37"/>
    </row>
    <row r="37" spans="1:47" ht="12.75">
      <c r="A37" s="29">
        <v>4064</v>
      </c>
      <c r="B37" s="30" t="s">
        <v>66</v>
      </c>
      <c r="C37" s="31">
        <v>0.21</v>
      </c>
      <c r="D37" s="32"/>
      <c r="E37" s="33">
        <f t="shared" si="0"/>
        <v>0.21</v>
      </c>
      <c r="F37" s="33">
        <v>0</v>
      </c>
      <c r="G37" s="33"/>
      <c r="H37" s="34">
        <f t="shared" si="1"/>
        <v>0</v>
      </c>
      <c r="I37" s="35" t="e">
        <f>C37-#REF!</f>
        <v>#REF!</v>
      </c>
      <c r="J37" s="35"/>
      <c r="K37" s="35"/>
      <c r="AJ37" s="36">
        <v>5.5</v>
      </c>
      <c r="AK37" s="37">
        <v>0.21</v>
      </c>
      <c r="AL37" s="37"/>
      <c r="AM37" s="37"/>
      <c r="AN37" s="37"/>
      <c r="AO37" s="37"/>
      <c r="AP37" s="36"/>
      <c r="AQ37" s="37"/>
      <c r="AR37" s="37"/>
      <c r="AS37" s="37"/>
      <c r="AT37" s="36"/>
      <c r="AU37" s="37"/>
    </row>
    <row r="38" spans="1:47" ht="12.75">
      <c r="A38" s="29">
        <v>4065</v>
      </c>
      <c r="B38" s="30" t="s">
        <v>67</v>
      </c>
      <c r="C38" s="31">
        <v>2.34</v>
      </c>
      <c r="D38" s="32"/>
      <c r="E38" s="33">
        <f t="shared" si="0"/>
        <v>2.34</v>
      </c>
      <c r="F38" s="33">
        <v>0.5</v>
      </c>
      <c r="G38" s="33"/>
      <c r="H38" s="34">
        <f t="shared" si="1"/>
        <v>0.5</v>
      </c>
      <c r="I38" s="35" t="e">
        <f>C38-#REF!</f>
        <v>#REF!</v>
      </c>
      <c r="J38" s="35"/>
      <c r="K38" s="35"/>
      <c r="AJ38" s="36">
        <v>5.5</v>
      </c>
      <c r="AK38" s="37">
        <v>2.34</v>
      </c>
      <c r="AL38" s="37"/>
      <c r="AM38" s="37"/>
      <c r="AN38" s="37"/>
      <c r="AO38" s="37"/>
      <c r="AP38" s="36"/>
      <c r="AQ38" s="37"/>
      <c r="AR38" s="37"/>
      <c r="AS38" s="37"/>
      <c r="AT38" s="36"/>
      <c r="AU38" s="37"/>
    </row>
    <row r="39" spans="1:47" ht="12.75">
      <c r="A39" s="29">
        <v>4066</v>
      </c>
      <c r="B39" s="30" t="s">
        <v>68</v>
      </c>
      <c r="C39" s="31">
        <v>6.079</v>
      </c>
      <c r="D39" s="32"/>
      <c r="E39" s="33">
        <f t="shared" si="0"/>
        <v>6.079</v>
      </c>
      <c r="F39" s="33">
        <v>2.72</v>
      </c>
      <c r="G39" s="33"/>
      <c r="H39" s="34">
        <f t="shared" si="1"/>
        <v>2.72</v>
      </c>
      <c r="I39" s="35" t="e">
        <f>C39-#REF!</f>
        <v>#REF!</v>
      </c>
      <c r="J39" s="35"/>
      <c r="K39" s="35"/>
      <c r="R39" s="36">
        <v>4</v>
      </c>
      <c r="S39" s="37">
        <v>5.329</v>
      </c>
      <c r="T39" s="37"/>
      <c r="U39" s="37"/>
      <c r="V39" s="37"/>
      <c r="W39" s="37"/>
      <c r="X39" s="37"/>
      <c r="Y39" s="37"/>
      <c r="AJ39" s="36">
        <v>5.5</v>
      </c>
      <c r="AK39" s="37">
        <v>0.75</v>
      </c>
      <c r="AL39" s="37"/>
      <c r="AM39" s="37"/>
      <c r="AN39" s="37"/>
      <c r="AO39" s="37"/>
      <c r="AR39" s="37"/>
      <c r="AS39" s="37"/>
      <c r="AT39" s="36"/>
      <c r="AU39" s="37"/>
    </row>
    <row r="40" spans="1:47" ht="24.75">
      <c r="A40" s="29">
        <v>4067</v>
      </c>
      <c r="B40" s="30" t="s">
        <v>69</v>
      </c>
      <c r="C40" s="31">
        <v>10.021</v>
      </c>
      <c r="D40" s="32"/>
      <c r="E40" s="33">
        <f aca="true" t="shared" si="2" ref="E40:E71">C40+D40</f>
        <v>10.021</v>
      </c>
      <c r="F40" s="33">
        <v>4.55</v>
      </c>
      <c r="G40" s="33"/>
      <c r="H40" s="34">
        <f aca="true" t="shared" si="3" ref="H40:H71">F40+G40</f>
        <v>4.55</v>
      </c>
      <c r="I40" s="35" t="e">
        <f>C40-#REF!</f>
        <v>#REF!</v>
      </c>
      <c r="J40" s="35"/>
      <c r="K40" s="35"/>
      <c r="AN40" s="37"/>
      <c r="AO40" s="37"/>
      <c r="AP40" s="36">
        <v>6</v>
      </c>
      <c r="AQ40" s="37">
        <v>10.021</v>
      </c>
      <c r="AR40" s="37"/>
      <c r="AS40" s="37"/>
      <c r="AT40" s="36"/>
      <c r="AU40" s="37"/>
    </row>
    <row r="41" spans="1:47" ht="12.75">
      <c r="A41" s="29">
        <v>4073</v>
      </c>
      <c r="B41" s="30" t="s">
        <v>70</v>
      </c>
      <c r="C41" s="31">
        <v>3.44</v>
      </c>
      <c r="D41" s="32"/>
      <c r="E41" s="33">
        <f t="shared" si="2"/>
        <v>3.44</v>
      </c>
      <c r="F41" s="33">
        <v>1.8</v>
      </c>
      <c r="G41" s="33"/>
      <c r="H41" s="34">
        <f t="shared" si="3"/>
        <v>1.8</v>
      </c>
      <c r="I41" s="35" t="e">
        <f>C41-#REF!</f>
        <v>#REF!</v>
      </c>
      <c r="J41" s="35"/>
      <c r="K41" s="35"/>
      <c r="AD41" s="36">
        <v>5</v>
      </c>
      <c r="AE41" s="37">
        <v>3.44</v>
      </c>
      <c r="AN41" s="37"/>
      <c r="AO41" s="37"/>
      <c r="AP41" s="36"/>
      <c r="AQ41" s="37"/>
      <c r="AR41" s="37"/>
      <c r="AS41" s="37"/>
      <c r="AT41" s="36"/>
      <c r="AU41" s="37"/>
    </row>
    <row r="42" spans="1:45" ht="12.75">
      <c r="A42" s="29">
        <v>4074</v>
      </c>
      <c r="B42" s="30" t="s">
        <v>71</v>
      </c>
      <c r="C42" s="31">
        <v>4.57</v>
      </c>
      <c r="D42" s="32"/>
      <c r="E42" s="33">
        <f t="shared" si="2"/>
        <v>4.57</v>
      </c>
      <c r="F42" s="33">
        <v>2.33</v>
      </c>
      <c r="G42" s="33"/>
      <c r="H42" s="34">
        <f t="shared" si="3"/>
        <v>2.33</v>
      </c>
      <c r="I42" s="35" t="e">
        <f>C42-#REF!</f>
        <v>#REF!</v>
      </c>
      <c r="J42" s="35"/>
      <c r="K42" s="35"/>
      <c r="R42" s="36">
        <v>4</v>
      </c>
      <c r="S42" s="37">
        <v>0.885</v>
      </c>
      <c r="T42" s="37"/>
      <c r="U42" s="37"/>
      <c r="V42" s="37"/>
      <c r="W42" s="37"/>
      <c r="X42" s="37"/>
      <c r="Y42" s="37"/>
      <c r="AD42" s="36">
        <v>5</v>
      </c>
      <c r="AE42" s="37">
        <v>0.145</v>
      </c>
      <c r="AJ42" s="36">
        <v>5.5</v>
      </c>
      <c r="AK42" s="37">
        <v>3.54</v>
      </c>
      <c r="AL42" s="37"/>
      <c r="AM42" s="37"/>
      <c r="AN42" s="37"/>
      <c r="AO42" s="37"/>
      <c r="AR42" s="37"/>
      <c r="AS42" s="37"/>
    </row>
    <row r="43" spans="1:47" ht="24.75">
      <c r="A43" s="29">
        <v>4075</v>
      </c>
      <c r="B43" s="30" t="s">
        <v>72</v>
      </c>
      <c r="C43" s="31">
        <v>9.241</v>
      </c>
      <c r="D43" s="32"/>
      <c r="E43" s="33">
        <f t="shared" si="2"/>
        <v>9.241</v>
      </c>
      <c r="F43" s="33">
        <v>9.241</v>
      </c>
      <c r="G43" s="33"/>
      <c r="H43" s="34">
        <f t="shared" si="3"/>
        <v>9.241</v>
      </c>
      <c r="I43" s="35" t="e">
        <f>C43-#REF!</f>
        <v>#REF!</v>
      </c>
      <c r="J43" s="35"/>
      <c r="K43" s="35"/>
      <c r="AJ43" s="36">
        <v>5.5</v>
      </c>
      <c r="AK43" s="37">
        <v>2.9</v>
      </c>
      <c r="AL43" s="37"/>
      <c r="AM43" s="37"/>
      <c r="AN43" s="37"/>
      <c r="AO43" s="37"/>
      <c r="AP43" s="36">
        <v>6</v>
      </c>
      <c r="AQ43" s="37">
        <v>6.341</v>
      </c>
      <c r="AR43" s="37"/>
      <c r="AS43" s="37"/>
      <c r="AT43" s="36"/>
      <c r="AU43" s="37"/>
    </row>
    <row r="44" spans="1:47" ht="24.75">
      <c r="A44" s="29">
        <v>4076</v>
      </c>
      <c r="B44" s="30" t="s">
        <v>73</v>
      </c>
      <c r="C44" s="31">
        <v>3.107</v>
      </c>
      <c r="D44" s="32"/>
      <c r="E44" s="33">
        <f t="shared" si="2"/>
        <v>3.107</v>
      </c>
      <c r="F44" s="33">
        <v>3.107</v>
      </c>
      <c r="G44" s="33"/>
      <c r="H44" s="34">
        <f t="shared" si="3"/>
        <v>3.107</v>
      </c>
      <c r="I44" s="35" t="e">
        <f>C44-#REF!</f>
        <v>#REF!</v>
      </c>
      <c r="J44" s="35"/>
      <c r="K44" s="35"/>
      <c r="AD44" s="36">
        <v>5</v>
      </c>
      <c r="AE44" s="37">
        <v>3.107</v>
      </c>
      <c r="AN44" s="37"/>
      <c r="AO44" s="37"/>
      <c r="AP44" s="36"/>
      <c r="AQ44" s="37"/>
      <c r="AR44" s="37"/>
      <c r="AS44" s="37"/>
      <c r="AT44" s="36"/>
      <c r="AU44" s="37"/>
    </row>
    <row r="45" spans="1:45" ht="25.5">
      <c r="A45" s="29">
        <v>4077</v>
      </c>
      <c r="B45" s="40" t="s">
        <v>74</v>
      </c>
      <c r="C45" s="31">
        <v>5.068</v>
      </c>
      <c r="D45" s="32"/>
      <c r="E45" s="33">
        <f t="shared" si="2"/>
        <v>5.068</v>
      </c>
      <c r="F45" s="33">
        <v>2.82</v>
      </c>
      <c r="G45" s="41"/>
      <c r="H45" s="34">
        <f t="shared" si="3"/>
        <v>2.82</v>
      </c>
      <c r="I45" s="35" t="e">
        <f>C45-#REF!</f>
        <v>#REF!</v>
      </c>
      <c r="J45" s="35"/>
      <c r="K45" s="35"/>
      <c r="AD45" s="36">
        <v>5</v>
      </c>
      <c r="AE45" s="37">
        <v>0.44</v>
      </c>
      <c r="AJ45" s="36">
        <v>5.5</v>
      </c>
      <c r="AK45" s="37">
        <f>3.52-0.232</f>
        <v>3.288</v>
      </c>
      <c r="AL45" s="37"/>
      <c r="AM45" s="37"/>
      <c r="AN45" s="37"/>
      <c r="AO45" s="37"/>
      <c r="AP45" s="36">
        <v>6</v>
      </c>
      <c r="AQ45" s="37">
        <v>1.34</v>
      </c>
      <c r="AR45" s="37"/>
      <c r="AS45" s="37"/>
    </row>
    <row r="46" spans="1:47" ht="24.75">
      <c r="A46" s="29">
        <v>4078</v>
      </c>
      <c r="B46" s="30" t="s">
        <v>75</v>
      </c>
      <c r="C46" s="31">
        <v>6.104</v>
      </c>
      <c r="D46" s="32"/>
      <c r="E46" s="33">
        <f t="shared" si="2"/>
        <v>6.104</v>
      </c>
      <c r="F46" s="33">
        <v>3.33</v>
      </c>
      <c r="G46" s="33"/>
      <c r="H46" s="34">
        <f t="shared" si="3"/>
        <v>3.33</v>
      </c>
      <c r="I46" s="35" t="e">
        <f>C46-#REF!</f>
        <v>#REF!</v>
      </c>
      <c r="J46" s="35"/>
      <c r="K46" s="35"/>
      <c r="AJ46" s="36">
        <v>5.5</v>
      </c>
      <c r="AK46" s="37">
        <v>6.104</v>
      </c>
      <c r="AL46" s="37"/>
      <c r="AM46" s="37"/>
      <c r="AN46" s="37"/>
      <c r="AO46" s="37"/>
      <c r="AP46" s="36"/>
      <c r="AQ46" s="37"/>
      <c r="AR46" s="37"/>
      <c r="AS46" s="37"/>
      <c r="AT46" s="36"/>
      <c r="AU46" s="37"/>
    </row>
    <row r="47" spans="1:47" ht="12.75">
      <c r="A47" s="29">
        <v>4079</v>
      </c>
      <c r="B47" s="30" t="s">
        <v>76</v>
      </c>
      <c r="C47" s="31">
        <v>3.852</v>
      </c>
      <c r="D47" s="32"/>
      <c r="E47" s="33">
        <f t="shared" si="2"/>
        <v>3.852</v>
      </c>
      <c r="F47" s="33">
        <v>0.53</v>
      </c>
      <c r="G47" s="33"/>
      <c r="H47" s="34">
        <f t="shared" si="3"/>
        <v>0.53</v>
      </c>
      <c r="I47" s="35" t="e">
        <f>C47-#REF!</f>
        <v>#REF!</v>
      </c>
      <c r="J47" s="35"/>
      <c r="K47" s="35"/>
      <c r="AD47" s="36">
        <v>5</v>
      </c>
      <c r="AE47" s="37">
        <v>0.39</v>
      </c>
      <c r="AN47" s="37"/>
      <c r="AO47" s="37"/>
      <c r="AP47" s="36">
        <v>6</v>
      </c>
      <c r="AQ47" s="37">
        <f>3.51-0.048</f>
        <v>3.4619999999999997</v>
      </c>
      <c r="AR47" s="37"/>
      <c r="AS47" s="37"/>
      <c r="AT47" s="36"/>
      <c r="AU47" s="37"/>
    </row>
    <row r="48" spans="1:45" ht="12.75">
      <c r="A48" s="29">
        <v>4080</v>
      </c>
      <c r="B48" s="30" t="s">
        <v>77</v>
      </c>
      <c r="C48" s="31">
        <v>10.427</v>
      </c>
      <c r="D48" s="32"/>
      <c r="E48" s="33">
        <f t="shared" si="2"/>
        <v>10.427</v>
      </c>
      <c r="F48" s="33">
        <v>4.5</v>
      </c>
      <c r="G48" s="33"/>
      <c r="H48" s="34">
        <f t="shared" si="3"/>
        <v>4.5</v>
      </c>
      <c r="I48" s="35" t="e">
        <f>C48-#REF!</f>
        <v>#REF!</v>
      </c>
      <c r="J48" s="35"/>
      <c r="K48" s="35"/>
      <c r="AD48" s="36">
        <v>5</v>
      </c>
      <c r="AE48" s="37">
        <v>0.44</v>
      </c>
      <c r="AJ48" s="36">
        <v>5.5</v>
      </c>
      <c r="AK48" s="37">
        <v>2.542</v>
      </c>
      <c r="AL48" s="37"/>
      <c r="AM48" s="37"/>
      <c r="AN48" s="37"/>
      <c r="AO48" s="37"/>
      <c r="AP48" s="36">
        <v>6</v>
      </c>
      <c r="AQ48" s="37">
        <v>7.445</v>
      </c>
      <c r="AR48" s="37"/>
      <c r="AS48" s="37"/>
    </row>
    <row r="49" spans="1:47" ht="12.75">
      <c r="A49" s="29">
        <v>4081</v>
      </c>
      <c r="B49" s="30" t="s">
        <v>78</v>
      </c>
      <c r="C49" s="31">
        <v>1.532</v>
      </c>
      <c r="D49" s="32"/>
      <c r="E49" s="33">
        <f t="shared" si="2"/>
        <v>1.532</v>
      </c>
      <c r="F49" s="33">
        <v>0.63</v>
      </c>
      <c r="G49" s="33"/>
      <c r="H49" s="34">
        <f t="shared" si="3"/>
        <v>0.63</v>
      </c>
      <c r="I49" s="35" t="e">
        <f>C49-#REF!</f>
        <v>#REF!</v>
      </c>
      <c r="J49" s="35"/>
      <c r="K49" s="35"/>
      <c r="AD49" s="36">
        <v>5</v>
      </c>
      <c r="AE49" s="37">
        <v>1.532</v>
      </c>
      <c r="AN49" s="37"/>
      <c r="AO49" s="37"/>
      <c r="AP49" s="36"/>
      <c r="AQ49" s="37"/>
      <c r="AR49" s="37"/>
      <c r="AS49" s="37"/>
      <c r="AT49" s="36"/>
      <c r="AU49" s="37"/>
    </row>
    <row r="50" spans="1:47" ht="12.75">
      <c r="A50" s="29">
        <v>4085</v>
      </c>
      <c r="B50" s="30" t="s">
        <v>79</v>
      </c>
      <c r="C50" s="31">
        <v>7.186</v>
      </c>
      <c r="D50" s="32"/>
      <c r="E50" s="33">
        <f t="shared" si="2"/>
        <v>7.186</v>
      </c>
      <c r="F50" s="33">
        <v>6.3</v>
      </c>
      <c r="G50" s="33"/>
      <c r="H50" s="34">
        <f t="shared" si="3"/>
        <v>6.3</v>
      </c>
      <c r="I50" s="35" t="e">
        <f>C50-#REF!</f>
        <v>#REF!</v>
      </c>
      <c r="J50" s="35"/>
      <c r="K50" s="35"/>
      <c r="AN50" s="37"/>
      <c r="AO50" s="37"/>
      <c r="AP50" s="36"/>
      <c r="AQ50" s="37"/>
      <c r="AR50" s="37"/>
      <c r="AS50" s="37"/>
      <c r="AT50" s="36"/>
      <c r="AU50" s="37"/>
    </row>
    <row r="51" spans="1:47" ht="12.75">
      <c r="A51" s="29">
        <v>4089</v>
      </c>
      <c r="B51" s="30" t="s">
        <v>80</v>
      </c>
      <c r="C51" s="31">
        <v>8.528</v>
      </c>
      <c r="D51" s="32"/>
      <c r="E51" s="33">
        <f t="shared" si="2"/>
        <v>8.528</v>
      </c>
      <c r="F51" s="33">
        <v>3.4</v>
      </c>
      <c r="G51" s="33"/>
      <c r="H51" s="34">
        <f t="shared" si="3"/>
        <v>3.4</v>
      </c>
      <c r="I51" s="35" t="e">
        <f>C51-#REF!</f>
        <v>#REF!</v>
      </c>
      <c r="J51" s="39"/>
      <c r="K51" s="39"/>
      <c r="R51" s="36">
        <v>4</v>
      </c>
      <c r="S51" s="37">
        <v>0</v>
      </c>
      <c r="T51" s="37"/>
      <c r="U51" s="37"/>
      <c r="V51" s="37"/>
      <c r="W51" s="37"/>
      <c r="X51" s="37"/>
      <c r="Y51" s="37"/>
      <c r="AJ51" s="36">
        <v>5.5</v>
      </c>
      <c r="AK51" s="37">
        <v>8.528</v>
      </c>
      <c r="AL51" s="37"/>
      <c r="AM51" s="37"/>
      <c r="AN51" s="37"/>
      <c r="AO51" s="37"/>
      <c r="AR51" s="37"/>
      <c r="AS51" s="37"/>
      <c r="AT51" s="36"/>
      <c r="AU51" s="37"/>
    </row>
    <row r="52" spans="1:47" ht="12.75">
      <c r="A52" s="29">
        <v>4092</v>
      </c>
      <c r="B52" s="30" t="s">
        <v>81</v>
      </c>
      <c r="C52" s="31">
        <v>0.775</v>
      </c>
      <c r="D52" s="32"/>
      <c r="E52" s="33">
        <f t="shared" si="2"/>
        <v>0.775</v>
      </c>
      <c r="F52" s="33">
        <v>0.55</v>
      </c>
      <c r="G52" s="33"/>
      <c r="H52" s="34">
        <f t="shared" si="3"/>
        <v>0.55</v>
      </c>
      <c r="I52" s="35" t="e">
        <f>C52-#REF!</f>
        <v>#REF!</v>
      </c>
      <c r="J52" s="35"/>
      <c r="K52" s="35"/>
      <c r="AJ52" s="36">
        <v>5.5</v>
      </c>
      <c r="AK52" s="37">
        <f>0.8-0.025</f>
        <v>0.775</v>
      </c>
      <c r="AL52" s="37"/>
      <c r="AM52" s="37"/>
      <c r="AN52" s="37"/>
      <c r="AO52" s="37"/>
      <c r="AP52" s="36"/>
      <c r="AQ52" s="37"/>
      <c r="AR52" s="37"/>
      <c r="AS52" s="37"/>
      <c r="AT52" s="36"/>
      <c r="AU52" s="37"/>
    </row>
    <row r="53" spans="1:47" ht="12.75">
      <c r="A53" s="29">
        <v>4093</v>
      </c>
      <c r="B53" s="30" t="s">
        <v>82</v>
      </c>
      <c r="C53" s="31">
        <v>13.078</v>
      </c>
      <c r="D53" s="32"/>
      <c r="E53" s="33">
        <f t="shared" si="2"/>
        <v>13.078</v>
      </c>
      <c r="F53" s="33">
        <v>3.39</v>
      </c>
      <c r="G53" s="33"/>
      <c r="H53" s="34">
        <f t="shared" si="3"/>
        <v>3.39</v>
      </c>
      <c r="I53" s="35" t="e">
        <f>C53-#REF!</f>
        <v>#REF!</v>
      </c>
      <c r="J53" s="35"/>
      <c r="K53" s="35"/>
      <c r="AJ53" s="36">
        <v>5.5</v>
      </c>
      <c r="AK53" s="37">
        <f>10.9-0.022</f>
        <v>10.878</v>
      </c>
      <c r="AL53" s="37"/>
      <c r="AM53" s="37"/>
      <c r="AN53" s="37"/>
      <c r="AO53" s="37"/>
      <c r="AP53" s="36">
        <v>6</v>
      </c>
      <c r="AQ53" s="37">
        <v>2.2</v>
      </c>
      <c r="AR53" s="37"/>
      <c r="AS53" s="37"/>
      <c r="AT53" s="36"/>
      <c r="AU53" s="37"/>
    </row>
    <row r="54" spans="1:47" ht="12.75">
      <c r="A54" s="29">
        <v>4103</v>
      </c>
      <c r="B54" s="30" t="s">
        <v>83</v>
      </c>
      <c r="C54" s="31">
        <v>1.035</v>
      </c>
      <c r="D54" s="32"/>
      <c r="E54" s="33">
        <f t="shared" si="2"/>
        <v>1.035</v>
      </c>
      <c r="F54" s="33">
        <v>0.38</v>
      </c>
      <c r="G54" s="33"/>
      <c r="H54" s="34">
        <f t="shared" si="3"/>
        <v>0.38</v>
      </c>
      <c r="I54" s="35" t="e">
        <f>C54-#REF!</f>
        <v>#REF!</v>
      </c>
      <c r="J54" s="35"/>
      <c r="K54" s="35"/>
      <c r="AD54" s="36">
        <v>5</v>
      </c>
      <c r="AE54" s="37">
        <v>1.035</v>
      </c>
      <c r="AN54" s="37"/>
      <c r="AO54" s="37"/>
      <c r="AP54" s="36"/>
      <c r="AQ54" s="37"/>
      <c r="AR54" s="37"/>
      <c r="AS54" s="37"/>
      <c r="AT54" s="36"/>
      <c r="AU54" s="37"/>
    </row>
    <row r="55" spans="1:47" ht="12.75">
      <c r="A55" s="29">
        <v>4104</v>
      </c>
      <c r="B55" s="30" t="s">
        <v>84</v>
      </c>
      <c r="C55" s="31">
        <v>3.658</v>
      </c>
      <c r="D55" s="32"/>
      <c r="E55" s="33">
        <f t="shared" si="2"/>
        <v>3.658</v>
      </c>
      <c r="F55" s="33">
        <v>2.35</v>
      </c>
      <c r="G55" s="33"/>
      <c r="H55" s="34">
        <f t="shared" si="3"/>
        <v>2.35</v>
      </c>
      <c r="I55" s="35" t="e">
        <f>C55-#REF!</f>
        <v>#REF!</v>
      </c>
      <c r="J55" s="35"/>
      <c r="K55" s="35"/>
      <c r="AJ55" s="36">
        <v>5.5</v>
      </c>
      <c r="AK55" s="37">
        <f>3.7-0.042</f>
        <v>3.6580000000000004</v>
      </c>
      <c r="AL55" s="37"/>
      <c r="AM55" s="37"/>
      <c r="AN55" s="37"/>
      <c r="AO55" s="37"/>
      <c r="AP55" s="36"/>
      <c r="AQ55" s="37"/>
      <c r="AR55" s="37"/>
      <c r="AS55" s="37"/>
      <c r="AT55" s="36"/>
      <c r="AU55" s="37"/>
    </row>
    <row r="56" spans="1:47" ht="24.75">
      <c r="A56" s="29">
        <v>4105</v>
      </c>
      <c r="B56" s="30" t="s">
        <v>85</v>
      </c>
      <c r="C56" s="31">
        <v>30.006</v>
      </c>
      <c r="D56" s="32"/>
      <c r="E56" s="33">
        <f t="shared" si="2"/>
        <v>30.006</v>
      </c>
      <c r="F56" s="33">
        <v>13.31</v>
      </c>
      <c r="G56" s="33"/>
      <c r="H56" s="34">
        <f t="shared" si="3"/>
        <v>13.31</v>
      </c>
      <c r="I56" s="35" t="e">
        <f>C56-#REF!</f>
        <v>#REF!</v>
      </c>
      <c r="J56" s="35"/>
      <c r="K56" s="35"/>
      <c r="AN56" s="37"/>
      <c r="AO56" s="37"/>
      <c r="AP56" s="36">
        <v>6</v>
      </c>
      <c r="AQ56" s="37">
        <v>26.836</v>
      </c>
      <c r="AR56" s="37"/>
      <c r="AS56" s="37"/>
      <c r="AT56" s="36"/>
      <c r="AU56" s="37"/>
    </row>
    <row r="57" spans="1:47" ht="12.75">
      <c r="A57" s="29">
        <v>4106</v>
      </c>
      <c r="B57" s="30" t="s">
        <v>86</v>
      </c>
      <c r="C57" s="31">
        <v>14.982</v>
      </c>
      <c r="D57" s="32"/>
      <c r="E57" s="33">
        <f t="shared" si="2"/>
        <v>14.982</v>
      </c>
      <c r="F57" s="33">
        <v>5.53</v>
      </c>
      <c r="G57" s="33"/>
      <c r="H57" s="34">
        <f t="shared" si="3"/>
        <v>5.53</v>
      </c>
      <c r="I57" s="35" t="e">
        <f>C57-#REF!</f>
        <v>#REF!</v>
      </c>
      <c r="J57" s="35"/>
      <c r="K57" s="35"/>
      <c r="AJ57" s="36">
        <v>5.5</v>
      </c>
      <c r="AK57" s="37">
        <v>7.1</v>
      </c>
      <c r="AL57" s="37"/>
      <c r="AM57" s="37"/>
      <c r="AN57" s="37"/>
      <c r="AO57" s="37"/>
      <c r="AP57" s="36">
        <v>6</v>
      </c>
      <c r="AQ57" s="37">
        <f>7.9-0.018</f>
        <v>7.882000000000001</v>
      </c>
      <c r="AR57" s="37"/>
      <c r="AS57" s="37"/>
      <c r="AT57" s="36"/>
      <c r="AU57" s="37"/>
    </row>
    <row r="58" spans="1:45" ht="24.75">
      <c r="A58" s="29">
        <v>4107</v>
      </c>
      <c r="B58" s="30" t="s">
        <v>87</v>
      </c>
      <c r="C58" s="31">
        <v>9.496</v>
      </c>
      <c r="D58" s="32"/>
      <c r="E58" s="33">
        <f t="shared" si="2"/>
        <v>9.496</v>
      </c>
      <c r="F58" s="33">
        <v>5.24</v>
      </c>
      <c r="G58" s="33"/>
      <c r="H58" s="34">
        <f t="shared" si="3"/>
        <v>5.24</v>
      </c>
      <c r="I58" s="35" t="e">
        <f>C58-#REF!</f>
        <v>#REF!</v>
      </c>
      <c r="J58" s="35"/>
      <c r="K58" s="35"/>
      <c r="AD58" s="36">
        <v>5</v>
      </c>
      <c r="AE58" s="37">
        <v>4.496</v>
      </c>
      <c r="AJ58" s="36">
        <v>5.5</v>
      </c>
      <c r="AK58" s="37">
        <v>4</v>
      </c>
      <c r="AL58" s="37"/>
      <c r="AM58" s="37"/>
      <c r="AN58" s="37"/>
      <c r="AO58" s="37"/>
      <c r="AR58" s="37"/>
      <c r="AS58" s="37"/>
    </row>
    <row r="59" spans="1:45" ht="12.75">
      <c r="A59" s="29">
        <v>4108</v>
      </c>
      <c r="B59" s="30" t="s">
        <v>88</v>
      </c>
      <c r="C59" s="31">
        <v>4.74</v>
      </c>
      <c r="D59" s="32"/>
      <c r="E59" s="33">
        <f t="shared" si="2"/>
        <v>4.74</v>
      </c>
      <c r="F59" s="33">
        <v>1.89</v>
      </c>
      <c r="G59" s="33"/>
      <c r="H59" s="34">
        <f t="shared" si="3"/>
        <v>1.89</v>
      </c>
      <c r="I59" s="35" t="e">
        <f>C59-#REF!</f>
        <v>#REF!</v>
      </c>
      <c r="J59" s="35"/>
      <c r="K59" s="35"/>
      <c r="AD59" s="36">
        <v>5</v>
      </c>
      <c r="AE59" s="37">
        <v>1.4</v>
      </c>
      <c r="AJ59" s="36">
        <v>5.5</v>
      </c>
      <c r="AK59" s="37">
        <v>2.6</v>
      </c>
      <c r="AL59" s="37"/>
      <c r="AM59" s="37"/>
      <c r="AN59" s="37"/>
      <c r="AO59" s="37"/>
      <c r="AR59" s="37"/>
      <c r="AS59" s="37"/>
    </row>
    <row r="60" spans="1:47" ht="24.75">
      <c r="A60" s="29">
        <v>4109</v>
      </c>
      <c r="B60" s="30" t="s">
        <v>89</v>
      </c>
      <c r="C60" s="31">
        <v>12.59</v>
      </c>
      <c r="D60" s="32"/>
      <c r="E60" s="33">
        <f t="shared" si="2"/>
        <v>12.59</v>
      </c>
      <c r="F60" s="33">
        <v>6.05</v>
      </c>
      <c r="G60" s="33"/>
      <c r="H60" s="34">
        <f t="shared" si="3"/>
        <v>6.05</v>
      </c>
      <c r="I60" s="35" t="e">
        <f>C60-#REF!</f>
        <v>#REF!</v>
      </c>
      <c r="J60" s="35"/>
      <c r="K60" s="35"/>
      <c r="AJ60" s="36">
        <v>5.5</v>
      </c>
      <c r="AK60" s="37">
        <v>5.35</v>
      </c>
      <c r="AL60" s="37"/>
      <c r="AM60" s="37"/>
      <c r="AN60" s="37"/>
      <c r="AO60" s="37"/>
      <c r="AP60" s="36">
        <v>6</v>
      </c>
      <c r="AQ60" s="37">
        <v>7.24</v>
      </c>
      <c r="AR60" s="37"/>
      <c r="AS60" s="37"/>
      <c r="AT60" s="36"/>
      <c r="AU60" s="37"/>
    </row>
    <row r="61" spans="1:47" ht="12.75">
      <c r="A61" s="29">
        <v>4110</v>
      </c>
      <c r="B61" s="30" t="s">
        <v>90</v>
      </c>
      <c r="C61" s="31">
        <v>1.799</v>
      </c>
      <c r="D61" s="32"/>
      <c r="E61" s="33">
        <f t="shared" si="2"/>
        <v>1.799</v>
      </c>
      <c r="F61" s="33">
        <v>1.05</v>
      </c>
      <c r="G61" s="33"/>
      <c r="H61" s="34">
        <f t="shared" si="3"/>
        <v>1.05</v>
      </c>
      <c r="I61" s="35" t="e">
        <f>C61-#REF!</f>
        <v>#REF!</v>
      </c>
      <c r="J61" s="35"/>
      <c r="K61" s="35"/>
      <c r="AB61" s="36">
        <v>4.8</v>
      </c>
      <c r="AC61" s="37">
        <v>1.799</v>
      </c>
      <c r="AN61" s="37"/>
      <c r="AO61" s="37"/>
      <c r="AP61" s="36"/>
      <c r="AQ61" s="37"/>
      <c r="AR61" s="37"/>
      <c r="AS61" s="37"/>
      <c r="AT61" s="36"/>
      <c r="AU61" s="37"/>
    </row>
    <row r="62" spans="1:45" ht="24.75">
      <c r="A62" s="29">
        <v>4118</v>
      </c>
      <c r="B62" s="30" t="s">
        <v>91</v>
      </c>
      <c r="C62" s="31">
        <v>14.928</v>
      </c>
      <c r="D62" s="32"/>
      <c r="E62" s="33">
        <f t="shared" si="2"/>
        <v>14.928</v>
      </c>
      <c r="F62" s="33">
        <v>4.09</v>
      </c>
      <c r="G62" s="33"/>
      <c r="H62" s="34">
        <f t="shared" si="3"/>
        <v>4.09</v>
      </c>
      <c r="I62" s="35" t="e">
        <f>C62-#REF!</f>
        <v>#REF!</v>
      </c>
      <c r="J62" s="35"/>
      <c r="K62" s="35"/>
      <c r="P62" s="36">
        <v>3.5</v>
      </c>
      <c r="Q62" s="37">
        <v>0.428</v>
      </c>
      <c r="AD62" s="36">
        <v>5</v>
      </c>
      <c r="AE62" s="37">
        <v>0.30000000000000004</v>
      </c>
      <c r="AJ62" s="36">
        <v>5.5</v>
      </c>
      <c r="AK62" s="37">
        <v>4.7</v>
      </c>
      <c r="AL62" s="37"/>
      <c r="AM62" s="37"/>
      <c r="AN62" s="37"/>
      <c r="AO62" s="37"/>
      <c r="AP62" s="36">
        <v>6</v>
      </c>
      <c r="AQ62" s="37">
        <v>9.5</v>
      </c>
      <c r="AR62" s="37"/>
      <c r="AS62" s="37"/>
    </row>
    <row r="63" spans="1:47" ht="12.75">
      <c r="A63" s="29">
        <v>4119</v>
      </c>
      <c r="B63" s="30" t="s">
        <v>92</v>
      </c>
      <c r="C63" s="31">
        <v>2.4859999999999998</v>
      </c>
      <c r="D63" s="32"/>
      <c r="E63" s="33">
        <f t="shared" si="2"/>
        <v>2.4859999999999998</v>
      </c>
      <c r="F63" s="33">
        <v>0.45</v>
      </c>
      <c r="G63" s="33"/>
      <c r="H63" s="34">
        <f t="shared" si="3"/>
        <v>0.45</v>
      </c>
      <c r="I63" s="35" t="e">
        <f>C63-#REF!</f>
        <v>#REF!</v>
      </c>
      <c r="J63" s="35"/>
      <c r="K63" s="35"/>
      <c r="AD63" s="36">
        <v>5</v>
      </c>
      <c r="AE63" s="37">
        <v>0.4</v>
      </c>
      <c r="AN63" s="37"/>
      <c r="AO63" s="37"/>
      <c r="AP63" s="36">
        <v>6</v>
      </c>
      <c r="AQ63" s="37">
        <f>2.1-0.014</f>
        <v>2.0860000000000003</v>
      </c>
      <c r="AR63" s="37"/>
      <c r="AS63" s="37"/>
      <c r="AT63" s="36"/>
      <c r="AU63" s="37"/>
    </row>
    <row r="64" spans="1:45" ht="12.75">
      <c r="A64" s="29">
        <v>4120</v>
      </c>
      <c r="B64" s="30" t="s">
        <v>93</v>
      </c>
      <c r="C64" s="31">
        <v>8.427</v>
      </c>
      <c r="D64" s="32"/>
      <c r="E64" s="33">
        <f t="shared" si="2"/>
        <v>8.427</v>
      </c>
      <c r="F64" s="33">
        <v>2.63</v>
      </c>
      <c r="G64" s="33"/>
      <c r="H64" s="34">
        <f t="shared" si="3"/>
        <v>2.63</v>
      </c>
      <c r="I64" s="35" t="e">
        <f>C64-#REF!</f>
        <v>#REF!</v>
      </c>
      <c r="J64" s="35"/>
      <c r="K64" s="35"/>
      <c r="AD64" s="36">
        <v>5</v>
      </c>
      <c r="AE64" s="37">
        <v>5.927</v>
      </c>
      <c r="AJ64" s="36">
        <v>5.5</v>
      </c>
      <c r="AK64" s="37">
        <v>2.25</v>
      </c>
      <c r="AL64" s="36">
        <v>5.7</v>
      </c>
      <c r="AM64" s="37">
        <v>0.25</v>
      </c>
      <c r="AN64" s="37"/>
      <c r="AO64" s="37"/>
      <c r="AR64" s="37"/>
      <c r="AS64" s="37"/>
    </row>
    <row r="65" spans="1:47" ht="12.75">
      <c r="A65" s="29">
        <v>4121</v>
      </c>
      <c r="B65" s="30" t="s">
        <v>94</v>
      </c>
      <c r="C65" s="31">
        <v>3.9</v>
      </c>
      <c r="D65" s="32"/>
      <c r="E65" s="33">
        <f t="shared" si="2"/>
        <v>3.9</v>
      </c>
      <c r="F65" s="33">
        <v>3.33</v>
      </c>
      <c r="G65" s="33"/>
      <c r="H65" s="34">
        <f t="shared" si="3"/>
        <v>3.33</v>
      </c>
      <c r="I65" s="35" t="e">
        <f>C65-#REF!</f>
        <v>#REF!</v>
      </c>
      <c r="J65" s="35"/>
      <c r="K65" s="35"/>
      <c r="AJ65" s="36">
        <v>5.5</v>
      </c>
      <c r="AK65" s="37">
        <v>3.9</v>
      </c>
      <c r="AL65" s="37"/>
      <c r="AM65" s="37"/>
      <c r="AN65" s="37"/>
      <c r="AO65" s="37"/>
      <c r="AP65" s="36"/>
      <c r="AQ65" s="37"/>
      <c r="AR65" s="37"/>
      <c r="AS65" s="37"/>
      <c r="AT65" s="36"/>
      <c r="AU65" s="37"/>
    </row>
    <row r="66" spans="1:47" ht="12.75">
      <c r="A66" s="29">
        <v>4122</v>
      </c>
      <c r="B66" s="30" t="s">
        <v>95</v>
      </c>
      <c r="C66" s="31">
        <v>2.36</v>
      </c>
      <c r="D66" s="32"/>
      <c r="E66" s="33">
        <f t="shared" si="2"/>
        <v>2.36</v>
      </c>
      <c r="F66" s="33">
        <v>0.8</v>
      </c>
      <c r="G66" s="33"/>
      <c r="H66" s="34">
        <f t="shared" si="3"/>
        <v>0.8</v>
      </c>
      <c r="I66" s="35" t="e">
        <f>C66-#REF!</f>
        <v>#REF!</v>
      </c>
      <c r="J66" s="35"/>
      <c r="K66" s="35"/>
      <c r="AJ66" s="36">
        <v>5.5</v>
      </c>
      <c r="AK66" s="37">
        <v>2.36</v>
      </c>
      <c r="AL66" s="37"/>
      <c r="AM66" s="37"/>
      <c r="AN66" s="37"/>
      <c r="AO66" s="37"/>
      <c r="AP66" s="36"/>
      <c r="AQ66" s="37"/>
      <c r="AR66" s="37"/>
      <c r="AS66" s="37"/>
      <c r="AT66" s="36"/>
      <c r="AU66" s="37"/>
    </row>
    <row r="67" spans="1:45" ht="24.75">
      <c r="A67" s="29">
        <v>4128</v>
      </c>
      <c r="B67" s="30" t="s">
        <v>96</v>
      </c>
      <c r="C67" s="31">
        <v>8.82</v>
      </c>
      <c r="D67" s="32"/>
      <c r="E67" s="33">
        <f t="shared" si="2"/>
        <v>8.82</v>
      </c>
      <c r="F67" s="33">
        <v>2.51</v>
      </c>
      <c r="G67" s="33"/>
      <c r="H67" s="34">
        <f t="shared" si="3"/>
        <v>2.51</v>
      </c>
      <c r="I67" s="35" t="e">
        <f>C67-#REF!</f>
        <v>#REF!</v>
      </c>
      <c r="J67" s="35"/>
      <c r="K67" s="35"/>
      <c r="AD67" s="36">
        <v>5</v>
      </c>
      <c r="AE67" s="37">
        <v>1.58</v>
      </c>
      <c r="AJ67" s="36">
        <v>5.5</v>
      </c>
      <c r="AK67" s="37">
        <v>2.66</v>
      </c>
      <c r="AL67" s="37"/>
      <c r="AM67" s="37"/>
      <c r="AN67" s="37"/>
      <c r="AO67" s="37"/>
      <c r="AP67" s="36">
        <v>6</v>
      </c>
      <c r="AQ67" s="37">
        <v>4.58</v>
      </c>
      <c r="AR67" s="37"/>
      <c r="AS67" s="37"/>
    </row>
    <row r="68" spans="1:45" ht="12.75">
      <c r="A68" s="29">
        <v>4129</v>
      </c>
      <c r="B68" s="30" t="s">
        <v>97</v>
      </c>
      <c r="C68" s="31">
        <f>8.5+0.15</f>
        <v>8.65</v>
      </c>
      <c r="D68" s="32">
        <v>3.643</v>
      </c>
      <c r="E68" s="33">
        <f t="shared" si="2"/>
        <v>12.293</v>
      </c>
      <c r="F68" s="33">
        <v>3.68</v>
      </c>
      <c r="G68" s="33"/>
      <c r="H68" s="34">
        <f t="shared" si="3"/>
        <v>3.68</v>
      </c>
      <c r="I68" s="35" t="e">
        <f>C68-#REF!</f>
        <v>#REF!</v>
      </c>
      <c r="J68" s="35"/>
      <c r="K68" s="35"/>
      <c r="R68" s="36"/>
      <c r="S68" s="37"/>
      <c r="T68" s="37"/>
      <c r="U68" s="37"/>
      <c r="V68" s="37"/>
      <c r="W68" s="37"/>
      <c r="X68" s="37"/>
      <c r="Y68" s="37"/>
      <c r="AD68" s="36">
        <v>5</v>
      </c>
      <c r="AE68" s="37">
        <v>1.3</v>
      </c>
      <c r="AL68" s="37"/>
      <c r="AM68" s="37"/>
      <c r="AN68" s="37"/>
      <c r="AO68" s="37"/>
      <c r="AP68" s="36">
        <v>6</v>
      </c>
      <c r="AQ68" s="37">
        <f>7.2+0.15</f>
        <v>7.3500000000000005</v>
      </c>
      <c r="AR68" s="37"/>
      <c r="AS68" s="37"/>
    </row>
    <row r="69" spans="1:47" ht="24.75">
      <c r="A69" s="29">
        <v>4130</v>
      </c>
      <c r="B69" s="30" t="s">
        <v>98</v>
      </c>
      <c r="C69" s="31">
        <v>24.546</v>
      </c>
      <c r="D69" s="32"/>
      <c r="E69" s="33">
        <f t="shared" si="2"/>
        <v>24.546</v>
      </c>
      <c r="F69" s="33">
        <v>12.48</v>
      </c>
      <c r="G69" s="33"/>
      <c r="H69" s="34">
        <f t="shared" si="3"/>
        <v>12.48</v>
      </c>
      <c r="I69" s="35" t="e">
        <f>C69-#REF!</f>
        <v>#REF!</v>
      </c>
      <c r="J69" s="35"/>
      <c r="K69" s="35"/>
      <c r="Z69" s="36">
        <v>4.5</v>
      </c>
      <c r="AA69" s="37">
        <v>0.1</v>
      </c>
      <c r="AL69" s="37"/>
      <c r="AM69" s="37"/>
      <c r="AN69" s="37"/>
      <c r="AO69" s="37"/>
      <c r="AP69" s="36">
        <v>6</v>
      </c>
      <c r="AQ69" s="37">
        <f>23.8-0.054</f>
        <v>23.746000000000002</v>
      </c>
      <c r="AR69" s="37"/>
      <c r="AS69" s="37"/>
      <c r="AT69" s="36"/>
      <c r="AU69" s="37"/>
    </row>
    <row r="70" spans="1:45" ht="12.75">
      <c r="A70" s="29">
        <v>4131</v>
      </c>
      <c r="B70" s="30" t="s">
        <v>99</v>
      </c>
      <c r="C70" s="31">
        <v>2.563</v>
      </c>
      <c r="D70" s="32"/>
      <c r="E70" s="33">
        <f t="shared" si="2"/>
        <v>2.563</v>
      </c>
      <c r="F70" s="33">
        <v>1.55</v>
      </c>
      <c r="G70" s="33"/>
      <c r="H70" s="34">
        <f t="shared" si="3"/>
        <v>1.55</v>
      </c>
      <c r="I70" s="35" t="e">
        <f>C70-#REF!</f>
        <v>#REF!</v>
      </c>
      <c r="J70" s="35"/>
      <c r="K70" s="35"/>
      <c r="N70" s="36">
        <v>3</v>
      </c>
      <c r="O70" s="37">
        <v>0.30000000000000004</v>
      </c>
      <c r="R70" s="36">
        <v>4</v>
      </c>
      <c r="S70" s="37">
        <v>0.05</v>
      </c>
      <c r="T70" s="37"/>
      <c r="U70" s="37"/>
      <c r="V70" s="37"/>
      <c r="W70" s="37"/>
      <c r="X70" s="37"/>
      <c r="Y70" s="37"/>
      <c r="AD70" s="36">
        <v>5</v>
      </c>
      <c r="AE70" s="37">
        <f>2.25-0.037</f>
        <v>2.213</v>
      </c>
      <c r="AL70" s="37"/>
      <c r="AM70" s="37"/>
      <c r="AN70" s="37"/>
      <c r="AO70" s="37"/>
      <c r="AR70" s="37"/>
      <c r="AS70" s="37"/>
    </row>
    <row r="71" spans="1:47" ht="12.75">
      <c r="A71" s="29">
        <v>4132</v>
      </c>
      <c r="B71" s="30" t="s">
        <v>100</v>
      </c>
      <c r="C71" s="31">
        <v>3</v>
      </c>
      <c r="D71" s="32">
        <v>2.6310000000000002</v>
      </c>
      <c r="E71" s="33">
        <f t="shared" si="2"/>
        <v>5.631</v>
      </c>
      <c r="F71" s="33">
        <v>2.97</v>
      </c>
      <c r="G71" s="33"/>
      <c r="H71" s="34">
        <f t="shared" si="3"/>
        <v>2.97</v>
      </c>
      <c r="I71" s="35" t="e">
        <f>C71-#REF!</f>
        <v>#REF!</v>
      </c>
      <c r="J71" s="35"/>
      <c r="K71" s="35"/>
      <c r="R71" s="36">
        <v>4</v>
      </c>
      <c r="S71" s="37">
        <v>1.42</v>
      </c>
      <c r="T71" s="37"/>
      <c r="U71" s="37"/>
      <c r="V71" s="37"/>
      <c r="W71" s="37"/>
      <c r="X71" s="37"/>
      <c r="Y71" s="37"/>
      <c r="AL71" s="37"/>
      <c r="AM71" s="37"/>
      <c r="AN71" s="37"/>
      <c r="AO71" s="37"/>
      <c r="AP71" s="36">
        <v>6</v>
      </c>
      <c r="AQ71" s="37">
        <v>1.58</v>
      </c>
      <c r="AR71" s="37"/>
      <c r="AS71" s="37"/>
      <c r="AT71" s="36"/>
      <c r="AU71" s="37"/>
    </row>
    <row r="72" spans="1:47" ht="12.75">
      <c r="A72" s="29">
        <v>4133</v>
      </c>
      <c r="B72" s="30" t="s">
        <v>101</v>
      </c>
      <c r="C72" s="31">
        <v>6.33</v>
      </c>
      <c r="D72" s="32"/>
      <c r="E72" s="33">
        <f aca="true" t="shared" si="4" ref="E72:E94">C72+D72</f>
        <v>6.33</v>
      </c>
      <c r="F72" s="33">
        <v>2.66</v>
      </c>
      <c r="G72" s="33"/>
      <c r="H72" s="34">
        <f aca="true" t="shared" si="5" ref="H72:H93">F72+G72</f>
        <v>2.66</v>
      </c>
      <c r="I72" s="35" t="e">
        <f>C72-#REF!</f>
        <v>#REF!</v>
      </c>
      <c r="J72" s="35"/>
      <c r="K72" s="35"/>
      <c r="AL72" s="37"/>
      <c r="AM72" s="37"/>
      <c r="AN72" s="37"/>
      <c r="AO72" s="37"/>
      <c r="AP72" s="36">
        <v>6</v>
      </c>
      <c r="AQ72" s="37">
        <v>6.33</v>
      </c>
      <c r="AR72" s="37"/>
      <c r="AS72" s="37"/>
      <c r="AT72" s="36"/>
      <c r="AU72" s="37"/>
    </row>
    <row r="73" spans="1:47" ht="24.75">
      <c r="A73" s="29">
        <v>4144</v>
      </c>
      <c r="B73" s="30" t="s">
        <v>102</v>
      </c>
      <c r="C73" s="31">
        <v>2.178</v>
      </c>
      <c r="D73" s="32"/>
      <c r="E73" s="33">
        <f t="shared" si="4"/>
        <v>2.178</v>
      </c>
      <c r="F73" s="33">
        <v>1.3</v>
      </c>
      <c r="G73" s="33"/>
      <c r="H73" s="34">
        <f t="shared" si="5"/>
        <v>1.3</v>
      </c>
      <c r="I73" s="35" t="e">
        <f>C73-#REF!</f>
        <v>#REF!</v>
      </c>
      <c r="J73" s="35"/>
      <c r="K73" s="35"/>
      <c r="AJ73" s="36">
        <v>5.5</v>
      </c>
      <c r="AK73" s="37">
        <f>2.2-0.022</f>
        <v>2.1780000000000004</v>
      </c>
      <c r="AL73" s="37"/>
      <c r="AM73" s="37"/>
      <c r="AN73" s="37"/>
      <c r="AO73" s="37"/>
      <c r="AP73" s="36"/>
      <c r="AQ73" s="37"/>
      <c r="AR73" s="37"/>
      <c r="AS73" s="37"/>
      <c r="AT73" s="36"/>
      <c r="AU73" s="37"/>
    </row>
    <row r="74" spans="1:47" ht="12.75">
      <c r="A74" s="29">
        <v>4145</v>
      </c>
      <c r="B74" s="30" t="s">
        <v>103</v>
      </c>
      <c r="C74" s="31">
        <v>2.046</v>
      </c>
      <c r="D74" s="32"/>
      <c r="E74" s="33">
        <f t="shared" si="4"/>
        <v>2.046</v>
      </c>
      <c r="F74" s="33">
        <v>2.046</v>
      </c>
      <c r="G74" s="33"/>
      <c r="H74" s="34">
        <f t="shared" si="5"/>
        <v>2.046</v>
      </c>
      <c r="I74" s="35" t="e">
        <f>C74-#REF!</f>
        <v>#REF!</v>
      </c>
      <c r="J74" s="35"/>
      <c r="K74" s="35"/>
      <c r="AL74" s="37"/>
      <c r="AM74" s="37"/>
      <c r="AN74" s="37"/>
      <c r="AO74" s="37"/>
      <c r="AP74" s="36">
        <v>6</v>
      </c>
      <c r="AQ74" s="37">
        <v>2.046</v>
      </c>
      <c r="AR74" s="37"/>
      <c r="AS74" s="37"/>
      <c r="AT74" s="36"/>
      <c r="AU74" s="37"/>
    </row>
    <row r="75" spans="1:47" ht="22.5">
      <c r="A75" s="29">
        <v>4146</v>
      </c>
      <c r="B75" s="30" t="s">
        <v>104</v>
      </c>
      <c r="C75" s="31">
        <v>3.5380000000000003</v>
      </c>
      <c r="D75" s="32"/>
      <c r="E75" s="33">
        <f t="shared" si="4"/>
        <v>3.5380000000000003</v>
      </c>
      <c r="F75" s="33">
        <v>3.5380000000000003</v>
      </c>
      <c r="G75" s="33"/>
      <c r="H75" s="34">
        <f t="shared" si="5"/>
        <v>3.5380000000000003</v>
      </c>
      <c r="I75" s="35" t="e">
        <f>C75-#REF!</f>
        <v>#REF!</v>
      </c>
      <c r="J75" s="35"/>
      <c r="K75" s="35"/>
      <c r="AL75" s="37"/>
      <c r="AM75" s="37"/>
      <c r="AN75" s="37"/>
      <c r="AO75" s="37"/>
      <c r="AP75" s="36"/>
      <c r="AQ75" s="37"/>
      <c r="AR75" s="37"/>
      <c r="AS75" s="37"/>
      <c r="AT75" s="36"/>
      <c r="AU75" s="37"/>
    </row>
    <row r="76" spans="1:47" ht="22.5">
      <c r="A76" s="29">
        <v>4147</v>
      </c>
      <c r="B76" s="30" t="s">
        <v>105</v>
      </c>
      <c r="C76" s="31">
        <v>3.293</v>
      </c>
      <c r="D76" s="32"/>
      <c r="E76" s="33">
        <f t="shared" si="4"/>
        <v>3.293</v>
      </c>
      <c r="F76" s="33">
        <v>3.293</v>
      </c>
      <c r="G76" s="33"/>
      <c r="H76" s="34">
        <f t="shared" si="5"/>
        <v>3.293</v>
      </c>
      <c r="I76" s="35" t="e">
        <f>C76-#REF!</f>
        <v>#REF!</v>
      </c>
      <c r="J76" s="35"/>
      <c r="K76" s="35"/>
      <c r="AL76" s="37"/>
      <c r="AM76" s="37"/>
      <c r="AN76" s="37"/>
      <c r="AO76" s="37"/>
      <c r="AR76" s="37"/>
      <c r="AS76" s="37"/>
      <c r="AT76" s="36"/>
      <c r="AU76" s="37"/>
    </row>
    <row r="77" spans="1:47" ht="24.75">
      <c r="A77" s="29">
        <v>4148</v>
      </c>
      <c r="B77" s="30" t="s">
        <v>106</v>
      </c>
      <c r="C77" s="31">
        <v>4.42</v>
      </c>
      <c r="D77" s="32">
        <v>2.48</v>
      </c>
      <c r="E77" s="33">
        <f t="shared" si="4"/>
        <v>6.9</v>
      </c>
      <c r="F77" s="33">
        <v>2.16</v>
      </c>
      <c r="G77" s="33"/>
      <c r="H77" s="34">
        <f t="shared" si="5"/>
        <v>2.16</v>
      </c>
      <c r="I77" s="35" t="e">
        <f>C77-#REF!</f>
        <v>#REF!</v>
      </c>
      <c r="J77" s="35"/>
      <c r="K77" s="35"/>
      <c r="AJ77" s="36">
        <v>5.5</v>
      </c>
      <c r="AK77" s="37">
        <v>4.42</v>
      </c>
      <c r="AL77" s="37"/>
      <c r="AM77" s="37"/>
      <c r="AN77" s="37"/>
      <c r="AO77" s="37"/>
      <c r="AP77" s="36"/>
      <c r="AQ77" s="37"/>
      <c r="AR77" s="37"/>
      <c r="AS77" s="37"/>
      <c r="AT77" s="36"/>
      <c r="AU77" s="37"/>
    </row>
    <row r="78" spans="1:47" ht="12.75">
      <c r="A78" s="29">
        <v>4163</v>
      </c>
      <c r="B78" s="30" t="s">
        <v>107</v>
      </c>
      <c r="C78" s="31">
        <v>8.2</v>
      </c>
      <c r="D78" s="32"/>
      <c r="E78" s="33">
        <f t="shared" si="4"/>
        <v>8.2</v>
      </c>
      <c r="F78" s="33">
        <v>2.33</v>
      </c>
      <c r="G78" s="33"/>
      <c r="H78" s="34">
        <f t="shared" si="5"/>
        <v>2.33</v>
      </c>
      <c r="I78" s="35" t="e">
        <f>C78-#REF!</f>
        <v>#REF!</v>
      </c>
      <c r="J78" s="35"/>
      <c r="K78" s="35"/>
      <c r="AJ78" s="36">
        <v>5.5</v>
      </c>
      <c r="AK78" s="37">
        <v>3.545</v>
      </c>
      <c r="AL78" s="37"/>
      <c r="AM78" s="37"/>
      <c r="AN78" s="37"/>
      <c r="AO78" s="37"/>
      <c r="AP78" s="36">
        <v>6</v>
      </c>
      <c r="AQ78" s="37">
        <v>4.655</v>
      </c>
      <c r="AR78" s="37"/>
      <c r="AS78" s="37"/>
      <c r="AT78" s="36"/>
      <c r="AU78" s="37"/>
    </row>
    <row r="79" spans="1:47" ht="12.75">
      <c r="A79" s="29">
        <v>4165</v>
      </c>
      <c r="B79" s="30" t="s">
        <v>108</v>
      </c>
      <c r="C79" s="31">
        <v>5.102</v>
      </c>
      <c r="D79" s="32"/>
      <c r="E79" s="33">
        <f t="shared" si="4"/>
        <v>5.102</v>
      </c>
      <c r="F79" s="33">
        <v>1.9</v>
      </c>
      <c r="G79" s="33"/>
      <c r="H79" s="34">
        <f t="shared" si="5"/>
        <v>1.9</v>
      </c>
      <c r="I79" s="35" t="e">
        <f>C79-#REF!</f>
        <v>#REF!</v>
      </c>
      <c r="J79" s="35"/>
      <c r="K79" s="35"/>
      <c r="AD79" s="36">
        <v>5</v>
      </c>
      <c r="AE79" s="37">
        <v>1.673</v>
      </c>
      <c r="AL79" s="37"/>
      <c r="AM79" s="37"/>
      <c r="AN79" s="37"/>
      <c r="AO79" s="37"/>
      <c r="AP79" s="36">
        <v>6</v>
      </c>
      <c r="AQ79" s="37">
        <v>3.429</v>
      </c>
      <c r="AR79" s="37"/>
      <c r="AS79" s="37"/>
      <c r="AT79" s="36"/>
      <c r="AU79" s="37"/>
    </row>
    <row r="80" spans="1:47" ht="12.75">
      <c r="A80" s="29">
        <v>4168</v>
      </c>
      <c r="B80" s="30" t="s">
        <v>109</v>
      </c>
      <c r="C80" s="31">
        <v>4.446</v>
      </c>
      <c r="D80" s="32"/>
      <c r="E80" s="33">
        <f t="shared" si="4"/>
        <v>4.446</v>
      </c>
      <c r="F80" s="33">
        <v>4.446</v>
      </c>
      <c r="G80" s="33"/>
      <c r="H80" s="34">
        <f t="shared" si="5"/>
        <v>4.446</v>
      </c>
      <c r="I80" s="35" t="e">
        <f>C80-#REF!</f>
        <v>#REF!</v>
      </c>
      <c r="J80" s="35"/>
      <c r="K80" s="35"/>
      <c r="AL80" s="37"/>
      <c r="AM80" s="37"/>
      <c r="AN80" s="37"/>
      <c r="AO80" s="37"/>
      <c r="AP80" s="36">
        <v>6</v>
      </c>
      <c r="AQ80" s="37">
        <v>1.7850000000000001</v>
      </c>
      <c r="AR80" s="37"/>
      <c r="AS80" s="37"/>
      <c r="AT80" s="36">
        <v>6.5</v>
      </c>
      <c r="AU80" s="37">
        <v>0.961</v>
      </c>
    </row>
    <row r="81" spans="1:47" ht="12.75">
      <c r="A81" s="29">
        <v>4189</v>
      </c>
      <c r="B81" s="30" t="s">
        <v>110</v>
      </c>
      <c r="C81" s="31">
        <v>2.053</v>
      </c>
      <c r="D81" s="32"/>
      <c r="E81" s="33">
        <f t="shared" si="4"/>
        <v>2.053</v>
      </c>
      <c r="F81" s="33">
        <v>1.37</v>
      </c>
      <c r="G81" s="33"/>
      <c r="H81" s="34">
        <f t="shared" si="5"/>
        <v>1.37</v>
      </c>
      <c r="I81" s="35" t="e">
        <f>C81-#REF!</f>
        <v>#REF!</v>
      </c>
      <c r="J81" s="35"/>
      <c r="K81" s="35"/>
      <c r="AJ81" s="36">
        <v>5.5</v>
      </c>
      <c r="AK81" s="37">
        <f>2.1-0.047</f>
        <v>2.053</v>
      </c>
      <c r="AL81" s="37"/>
      <c r="AM81" s="37"/>
      <c r="AN81" s="37"/>
      <c r="AO81" s="37"/>
      <c r="AP81" s="36"/>
      <c r="AQ81" s="37"/>
      <c r="AR81" s="37"/>
      <c r="AS81" s="37"/>
      <c r="AT81" s="36"/>
      <c r="AU81" s="37"/>
    </row>
    <row r="82" spans="1:47" ht="24.75">
      <c r="A82" s="29">
        <v>4202</v>
      </c>
      <c r="B82" s="30" t="s">
        <v>111</v>
      </c>
      <c r="C82" s="31">
        <v>8.8</v>
      </c>
      <c r="D82" s="32"/>
      <c r="E82" s="33">
        <f t="shared" si="4"/>
        <v>8.8</v>
      </c>
      <c r="F82" s="33">
        <v>7.04</v>
      </c>
      <c r="G82" s="33"/>
      <c r="H82" s="34">
        <f t="shared" si="5"/>
        <v>7.04</v>
      </c>
      <c r="I82" s="35" t="e">
        <f>C82-#REF!</f>
        <v>#REF!</v>
      </c>
      <c r="J82" s="35"/>
      <c r="K82" s="35"/>
      <c r="AL82" s="37"/>
      <c r="AM82" s="37"/>
      <c r="AN82" s="37"/>
      <c r="AO82" s="37"/>
      <c r="AP82" s="36"/>
      <c r="AQ82" s="37"/>
      <c r="AR82" s="36">
        <v>6.2</v>
      </c>
      <c r="AS82" s="37">
        <v>8.8</v>
      </c>
      <c r="AT82" s="36"/>
      <c r="AU82" s="37"/>
    </row>
    <row r="83" spans="1:45" ht="12.75">
      <c r="A83" s="29">
        <v>4237</v>
      </c>
      <c r="B83" s="30" t="s">
        <v>112</v>
      </c>
      <c r="C83" s="31">
        <v>4.172</v>
      </c>
      <c r="D83" s="32"/>
      <c r="E83" s="33">
        <f t="shared" si="4"/>
        <v>4.172</v>
      </c>
      <c r="F83" s="33">
        <v>2.42</v>
      </c>
      <c r="G83" s="33"/>
      <c r="H83" s="34">
        <f t="shared" si="5"/>
        <v>2.42</v>
      </c>
      <c r="I83" s="35" t="e">
        <f>C83-#REF!</f>
        <v>#REF!</v>
      </c>
      <c r="J83" s="35"/>
      <c r="K83" s="35"/>
      <c r="R83" s="36">
        <v>4</v>
      </c>
      <c r="S83" s="37">
        <v>0.62</v>
      </c>
      <c r="T83" s="37"/>
      <c r="U83" s="37"/>
      <c r="V83" s="37"/>
      <c r="W83" s="37"/>
      <c r="X83" s="37"/>
      <c r="Y83" s="37"/>
      <c r="AD83" s="36">
        <v>5</v>
      </c>
      <c r="AE83" s="37">
        <f>2.97-0.028</f>
        <v>2.9419999999999997</v>
      </c>
      <c r="AJ83" s="36">
        <v>5.5</v>
      </c>
      <c r="AK83" s="37">
        <v>0.61</v>
      </c>
      <c r="AL83" s="37"/>
      <c r="AM83" s="37"/>
      <c r="AN83" s="37"/>
      <c r="AO83" s="37"/>
      <c r="AR83" s="37"/>
      <c r="AS83" s="37"/>
    </row>
    <row r="84" spans="1:47" ht="12.75">
      <c r="A84" s="29">
        <v>4238</v>
      </c>
      <c r="B84" s="30" t="s">
        <v>113</v>
      </c>
      <c r="C84" s="31">
        <v>3.269</v>
      </c>
      <c r="D84" s="32"/>
      <c r="E84" s="33">
        <f t="shared" si="4"/>
        <v>3.269</v>
      </c>
      <c r="F84" s="33">
        <v>1.3</v>
      </c>
      <c r="G84" s="33"/>
      <c r="H84" s="34">
        <f t="shared" si="5"/>
        <v>1.3</v>
      </c>
      <c r="I84" s="35" t="e">
        <f>C84-#REF!</f>
        <v>#REF!</v>
      </c>
      <c r="J84" s="35"/>
      <c r="K84" s="35"/>
      <c r="AL84" s="37"/>
      <c r="AM84" s="37"/>
      <c r="AN84" s="37"/>
      <c r="AO84" s="37"/>
      <c r="AP84" s="36">
        <v>6</v>
      </c>
      <c r="AQ84" s="37">
        <f>2.8</f>
        <v>2.8</v>
      </c>
      <c r="AR84" s="37"/>
      <c r="AS84" s="37"/>
      <c r="AT84" s="36"/>
      <c r="AU84" s="37"/>
    </row>
    <row r="85" spans="1:47" ht="24.75">
      <c r="A85" s="29">
        <v>4239</v>
      </c>
      <c r="B85" s="30" t="s">
        <v>114</v>
      </c>
      <c r="C85" s="31">
        <v>4.452</v>
      </c>
      <c r="D85" s="32"/>
      <c r="E85" s="33">
        <f t="shared" si="4"/>
        <v>4.452</v>
      </c>
      <c r="F85" s="33">
        <v>3.73</v>
      </c>
      <c r="G85" s="33"/>
      <c r="H85" s="34">
        <f t="shared" si="5"/>
        <v>3.73</v>
      </c>
      <c r="I85" s="35" t="e">
        <f>C85-#REF!</f>
        <v>#REF!</v>
      </c>
      <c r="J85" s="35"/>
      <c r="K85" s="35"/>
      <c r="AD85" s="36">
        <v>5</v>
      </c>
      <c r="AE85" s="37">
        <v>2.902</v>
      </c>
      <c r="AJ85" s="36">
        <v>5.5</v>
      </c>
      <c r="AK85" s="37">
        <v>1.55</v>
      </c>
      <c r="AL85" s="37"/>
      <c r="AM85" s="37"/>
      <c r="AN85" s="37"/>
      <c r="AO85" s="37"/>
      <c r="AR85" s="37"/>
      <c r="AS85" s="37"/>
      <c r="AT85" s="36"/>
      <c r="AU85" s="37"/>
    </row>
    <row r="86" spans="1:47" ht="12.75">
      <c r="A86" s="43">
        <v>4247</v>
      </c>
      <c r="B86" s="30" t="s">
        <v>115</v>
      </c>
      <c r="C86" s="31">
        <v>1.553</v>
      </c>
      <c r="D86" s="32"/>
      <c r="E86" s="33">
        <f t="shared" si="4"/>
        <v>1.553</v>
      </c>
      <c r="F86" s="33"/>
      <c r="G86" s="33"/>
      <c r="H86" s="34">
        <f t="shared" si="5"/>
        <v>0</v>
      </c>
      <c r="I86" s="35" t="e">
        <f>C86-#REF!</f>
        <v>#REF!</v>
      </c>
      <c r="J86" s="35"/>
      <c r="K86" s="35"/>
      <c r="AL86" s="37"/>
      <c r="AM86" s="37"/>
      <c r="AN86" s="37"/>
      <c r="AO86" s="37"/>
      <c r="AP86" s="36"/>
      <c r="AQ86" s="37"/>
      <c r="AR86" s="37"/>
      <c r="AS86" s="37"/>
      <c r="AT86" s="36">
        <v>6.5</v>
      </c>
      <c r="AU86" s="37">
        <f>1.6-0.047</f>
        <v>1.5530000000000002</v>
      </c>
    </row>
    <row r="87" spans="1:47" ht="24.75">
      <c r="A87" s="43">
        <v>4257</v>
      </c>
      <c r="B87" s="30" t="s">
        <v>116</v>
      </c>
      <c r="C87" s="31">
        <v>12.622</v>
      </c>
      <c r="D87" s="32"/>
      <c r="E87" s="33">
        <f t="shared" si="4"/>
        <v>12.622</v>
      </c>
      <c r="F87" s="33">
        <v>7.76</v>
      </c>
      <c r="G87" s="33"/>
      <c r="H87" s="34">
        <f t="shared" si="5"/>
        <v>7.76</v>
      </c>
      <c r="I87" s="35" t="e">
        <f>C87-#REF!</f>
        <v>#REF!</v>
      </c>
      <c r="J87" s="35"/>
      <c r="K87" s="35"/>
      <c r="AL87" s="37"/>
      <c r="AM87" s="37"/>
      <c r="AN87" s="37"/>
      <c r="AO87" s="37"/>
      <c r="AP87" s="36"/>
      <c r="AQ87" s="37"/>
      <c r="AR87" s="37"/>
      <c r="AS87" s="37"/>
      <c r="AT87" s="36"/>
      <c r="AU87" s="37"/>
    </row>
    <row r="88" spans="1:47" ht="12.75">
      <c r="A88" s="44">
        <v>4259</v>
      </c>
      <c r="B88" s="45" t="s">
        <v>117</v>
      </c>
      <c r="C88" s="46">
        <v>3.867</v>
      </c>
      <c r="D88" s="47"/>
      <c r="E88" s="33">
        <f t="shared" si="4"/>
        <v>3.867</v>
      </c>
      <c r="F88" s="34">
        <v>0.83</v>
      </c>
      <c r="G88" s="34"/>
      <c r="H88" s="34">
        <f t="shared" si="5"/>
        <v>0.83</v>
      </c>
      <c r="I88" s="35" t="e">
        <f>C88-#REF!</f>
        <v>#REF!</v>
      </c>
      <c r="J88" s="35"/>
      <c r="K88" s="35"/>
      <c r="AL88" s="37"/>
      <c r="AM88" s="37"/>
      <c r="AN88" s="37"/>
      <c r="AO88" s="37"/>
      <c r="AP88" s="36">
        <v>6</v>
      </c>
      <c r="AQ88" s="37">
        <v>3.867</v>
      </c>
      <c r="AR88" s="37"/>
      <c r="AS88" s="37"/>
      <c r="AT88" s="36"/>
      <c r="AU88" s="37"/>
    </row>
    <row r="89" spans="1:47" ht="12.75">
      <c r="A89" s="44">
        <v>4291</v>
      </c>
      <c r="B89" s="45" t="s">
        <v>118</v>
      </c>
      <c r="C89" s="46">
        <v>1.689</v>
      </c>
      <c r="D89" s="47"/>
      <c r="E89" s="33">
        <f t="shared" si="4"/>
        <v>1.689</v>
      </c>
      <c r="F89" s="34"/>
      <c r="G89" s="34"/>
      <c r="H89" s="34">
        <f t="shared" si="5"/>
        <v>0</v>
      </c>
      <c r="I89" s="35" t="e">
        <f>C89-#REF!</f>
        <v>#REF!</v>
      </c>
      <c r="J89" s="35"/>
      <c r="K89" s="35"/>
      <c r="AL89" s="37"/>
      <c r="AM89" s="37"/>
      <c r="AN89" s="37"/>
      <c r="AO89" s="37"/>
      <c r="AR89" s="37"/>
      <c r="AS89" s="37"/>
      <c r="AT89" s="36"/>
      <c r="AU89" s="37"/>
    </row>
    <row r="90" spans="1:45" ht="24.75">
      <c r="A90" s="44">
        <v>4292</v>
      </c>
      <c r="B90" s="45" t="s">
        <v>119</v>
      </c>
      <c r="C90" s="46">
        <v>15.159</v>
      </c>
      <c r="D90" s="47"/>
      <c r="E90" s="33">
        <f t="shared" si="4"/>
        <v>15.159</v>
      </c>
      <c r="F90" s="34">
        <v>2.5</v>
      </c>
      <c r="G90" s="34">
        <v>0</v>
      </c>
      <c r="H90" s="34">
        <f t="shared" si="5"/>
        <v>2.5</v>
      </c>
      <c r="I90" s="35" t="e">
        <f>C90-#REF!</f>
        <v>#REF!</v>
      </c>
      <c r="J90" s="39"/>
      <c r="K90" s="39"/>
      <c r="AD90" s="36">
        <v>5</v>
      </c>
      <c r="AE90" s="37">
        <v>2.559</v>
      </c>
      <c r="AJ90" s="36">
        <v>5.5</v>
      </c>
      <c r="AK90" s="37">
        <f>3.59+1.06</f>
        <v>4.65</v>
      </c>
      <c r="AL90" s="37"/>
      <c r="AM90" s="37"/>
      <c r="AN90" s="37"/>
      <c r="AO90" s="37"/>
      <c r="AP90" s="36">
        <v>6</v>
      </c>
      <c r="AQ90" s="37">
        <f>7.95</f>
        <v>7.95</v>
      </c>
      <c r="AR90" s="37"/>
      <c r="AS90" s="37"/>
    </row>
    <row r="91" spans="1:45" ht="24.75">
      <c r="A91" s="44">
        <v>4293</v>
      </c>
      <c r="B91" s="45" t="s">
        <v>120</v>
      </c>
      <c r="C91" s="46">
        <v>4.168</v>
      </c>
      <c r="D91" s="47"/>
      <c r="E91" s="33">
        <f t="shared" si="4"/>
        <v>4.168</v>
      </c>
      <c r="F91" s="34">
        <v>1.4</v>
      </c>
      <c r="G91" s="34"/>
      <c r="H91" s="34">
        <f t="shared" si="5"/>
        <v>1.4</v>
      </c>
      <c r="I91" s="35" t="e">
        <f>C91-#REF!</f>
        <v>#REF!</v>
      </c>
      <c r="J91" s="35"/>
      <c r="K91" s="35"/>
      <c r="AL91" s="37"/>
      <c r="AM91" s="37"/>
      <c r="AN91" s="36">
        <v>5.8</v>
      </c>
      <c r="AO91" s="37">
        <v>1.6680000000000001</v>
      </c>
      <c r="AP91" s="36">
        <v>6</v>
      </c>
      <c r="AQ91" s="37">
        <v>2.4</v>
      </c>
      <c r="AR91" s="37"/>
      <c r="AS91" s="37"/>
    </row>
    <row r="92" spans="1:47" ht="12.75">
      <c r="A92" s="43">
        <v>4295</v>
      </c>
      <c r="B92" s="30" t="s">
        <v>121</v>
      </c>
      <c r="C92" s="31">
        <v>2.337</v>
      </c>
      <c r="D92" s="32"/>
      <c r="E92" s="33">
        <f t="shared" si="4"/>
        <v>2.337</v>
      </c>
      <c r="F92" s="33">
        <v>2.22</v>
      </c>
      <c r="G92" s="33"/>
      <c r="H92" s="34">
        <f t="shared" si="5"/>
        <v>2.22</v>
      </c>
      <c r="I92" s="35" t="e">
        <f>C92-#REF!</f>
        <v>#REF!</v>
      </c>
      <c r="J92" s="39"/>
      <c r="K92" s="39"/>
      <c r="AL92" s="37"/>
      <c r="AM92" s="37"/>
      <c r="AN92" s="37"/>
      <c r="AO92" s="37"/>
      <c r="AP92" s="36">
        <v>6</v>
      </c>
      <c r="AQ92" s="37">
        <v>2.337</v>
      </c>
      <c r="AR92" s="37"/>
      <c r="AS92" s="37"/>
      <c r="AT92" s="36"/>
      <c r="AU92" s="37"/>
    </row>
    <row r="93" spans="1:47" ht="12.75">
      <c r="A93" s="48">
        <v>4297</v>
      </c>
      <c r="B93" s="49" t="s">
        <v>122</v>
      </c>
      <c r="C93" s="50">
        <v>1.619</v>
      </c>
      <c r="D93" s="51"/>
      <c r="E93" s="52">
        <f t="shared" si="4"/>
        <v>1.619</v>
      </c>
      <c r="F93" s="52">
        <v>1.619</v>
      </c>
      <c r="G93" s="52"/>
      <c r="H93" s="52">
        <f t="shared" si="5"/>
        <v>1.619</v>
      </c>
      <c r="I93" s="35" t="e">
        <f>C93-#REF!</f>
        <v>#REF!</v>
      </c>
      <c r="J93" s="35"/>
      <c r="K93" s="35"/>
      <c r="AL93" s="37"/>
      <c r="AM93" s="37"/>
      <c r="AN93" s="37"/>
      <c r="AO93" s="37"/>
      <c r="AP93" s="36"/>
      <c r="AQ93" s="37"/>
      <c r="AR93" s="37"/>
      <c r="AS93" s="37"/>
      <c r="AT93" s="36">
        <v>6.5</v>
      </c>
      <c r="AU93" s="37">
        <v>1.619</v>
      </c>
    </row>
    <row r="94" spans="1:47" ht="12.75">
      <c r="A94" s="53">
        <v>4300</v>
      </c>
      <c r="B94" s="54" t="s">
        <v>123</v>
      </c>
      <c r="C94" s="55">
        <v>1.9609999999999999</v>
      </c>
      <c r="D94" s="56"/>
      <c r="E94" s="52">
        <f t="shared" si="4"/>
        <v>1.9609999999999999</v>
      </c>
      <c r="F94" s="57"/>
      <c r="G94" s="57"/>
      <c r="H94" s="58"/>
      <c r="I94" s="35"/>
      <c r="J94" s="35"/>
      <c r="K94" s="35"/>
      <c r="AL94" s="37"/>
      <c r="AM94" s="37"/>
      <c r="AN94" s="37"/>
      <c r="AO94" s="37"/>
      <c r="AP94" s="36"/>
      <c r="AQ94" s="37"/>
      <c r="AR94" s="37"/>
      <c r="AS94" s="37"/>
      <c r="AT94" s="36"/>
      <c r="AU94" s="37"/>
    </row>
    <row r="95" spans="1:47" ht="12.75">
      <c r="A95" s="59"/>
      <c r="B95" s="60" t="s">
        <v>124</v>
      </c>
      <c r="C95" s="61">
        <f>SUM(C8:C94)</f>
        <v>624.9739999999999</v>
      </c>
      <c r="D95" s="61">
        <f>SUM(D8:D93)</f>
        <v>9.31</v>
      </c>
      <c r="E95" s="61">
        <f>SUM(E8:E94)</f>
        <v>634.2839999999999</v>
      </c>
      <c r="F95" s="61">
        <f>SUM(F8:F93)</f>
        <v>280.10900000000015</v>
      </c>
      <c r="G95" s="61">
        <f>SUM(G8:G93)</f>
        <v>0</v>
      </c>
      <c r="H95" s="61">
        <f>SUM(H8:H94)</f>
        <v>280.10900000000015</v>
      </c>
      <c r="AJ95" s="36"/>
      <c r="AK95" s="37"/>
      <c r="AL95" s="37"/>
      <c r="AM95" s="37"/>
      <c r="AN95" s="37"/>
      <c r="AO95" s="37"/>
      <c r="AP95" s="36"/>
      <c r="AQ95" s="37"/>
      <c r="AR95" s="37"/>
      <c r="AS95" s="37"/>
      <c r="AT95" s="36"/>
      <c r="AU95" s="37"/>
    </row>
    <row r="96" spans="1:47" ht="12.75">
      <c r="A96" s="62"/>
      <c r="B96" s="63"/>
      <c r="C96" s="64"/>
      <c r="D96" s="65"/>
      <c r="E96" s="65"/>
      <c r="F96" s="65"/>
      <c r="G96" s="65"/>
      <c r="H96" s="65"/>
      <c r="AJ96" s="36"/>
      <c r="AK96" s="37"/>
      <c r="AL96" s="37"/>
      <c r="AM96" s="37"/>
      <c r="AN96" s="37"/>
      <c r="AO96" s="37"/>
      <c r="AP96" s="36"/>
      <c r="AQ96" s="37"/>
      <c r="AR96" s="37"/>
      <c r="AS96" s="37"/>
      <c r="AT96" s="36"/>
      <c r="AU96" s="37"/>
    </row>
    <row r="97" spans="1:47" ht="17.25">
      <c r="A97" s="62"/>
      <c r="B97" s="66" t="s">
        <v>126</v>
      </c>
      <c r="C97" s="67"/>
      <c r="D97" s="68"/>
      <c r="E97" s="4"/>
      <c r="F97" s="4"/>
      <c r="G97" s="4"/>
      <c r="H97" s="4"/>
      <c r="AJ97" s="36"/>
      <c r="AK97" s="37"/>
      <c r="AL97" s="37"/>
      <c r="AM97" s="37"/>
      <c r="AN97" s="37"/>
      <c r="AO97" s="37"/>
      <c r="AP97" s="36"/>
      <c r="AQ97" s="37"/>
      <c r="AR97" s="37"/>
      <c r="AS97" s="37"/>
      <c r="AT97" s="36"/>
      <c r="AU97" s="37"/>
    </row>
    <row r="98" spans="1:47" ht="12.75">
      <c r="A98" s="69"/>
      <c r="B98" s="12"/>
      <c r="C98" s="70"/>
      <c r="D98" s="27"/>
      <c r="E98" s="71"/>
      <c r="F98" s="71"/>
      <c r="G98" s="71"/>
      <c r="H98" s="71"/>
      <c r="AJ98" s="36"/>
      <c r="AK98" s="37"/>
      <c r="AL98" s="37"/>
      <c r="AM98" s="37"/>
      <c r="AN98" s="37"/>
      <c r="AO98" s="37"/>
      <c r="AP98" s="36"/>
      <c r="AQ98" s="37"/>
      <c r="AR98" s="37"/>
      <c r="AS98" s="37"/>
      <c r="AT98" s="36"/>
      <c r="AU98" s="37"/>
    </row>
    <row r="99" spans="1:47" ht="12.75">
      <c r="A99" s="29">
        <v>40068</v>
      </c>
      <c r="B99" s="30" t="s">
        <v>127</v>
      </c>
      <c r="C99" s="31">
        <v>0</v>
      </c>
      <c r="D99" s="32">
        <v>5.58</v>
      </c>
      <c r="E99" s="33">
        <f aca="true" t="shared" si="6" ref="E99:E130">C99+D99</f>
        <v>5.58</v>
      </c>
      <c r="F99" s="33"/>
      <c r="G99" s="33"/>
      <c r="H99" s="34">
        <f>F99+G99</f>
        <v>0</v>
      </c>
      <c r="I99" s="35" t="e">
        <f>C99-#REF!</f>
        <v>#REF!</v>
      </c>
      <c r="J99" s="35"/>
      <c r="K99" s="35"/>
      <c r="AJ99" s="36"/>
      <c r="AK99" s="37"/>
      <c r="AL99" s="37"/>
      <c r="AM99" s="37"/>
      <c r="AN99" s="37"/>
      <c r="AO99" s="37"/>
      <c r="AP99" s="36"/>
      <c r="AQ99" s="37"/>
      <c r="AR99" s="37"/>
      <c r="AS99" s="37"/>
      <c r="AT99" s="36"/>
      <c r="AU99" s="37"/>
    </row>
    <row r="100" spans="1:47" ht="24.75">
      <c r="A100" s="29">
        <v>40080</v>
      </c>
      <c r="B100" s="30" t="s">
        <v>128</v>
      </c>
      <c r="C100" s="31">
        <f>2.99+0.9</f>
        <v>3.89</v>
      </c>
      <c r="D100" s="32">
        <f>7.59-0.9</f>
        <v>6.6899999999999995</v>
      </c>
      <c r="E100" s="33">
        <f t="shared" si="6"/>
        <v>10.58</v>
      </c>
      <c r="F100" s="33">
        <v>0</v>
      </c>
      <c r="G100" s="33"/>
      <c r="H100" s="34">
        <f>F100+G100</f>
        <v>0</v>
      </c>
      <c r="I100" s="35" t="e">
        <f>C100-#REF!</f>
        <v>#REF!</v>
      </c>
      <c r="J100" s="35"/>
      <c r="K100" s="35"/>
      <c r="AD100" s="36">
        <v>5</v>
      </c>
      <c r="AE100" s="37">
        <v>0.9</v>
      </c>
      <c r="AJ100" s="36">
        <v>5.5</v>
      </c>
      <c r="AK100" s="37">
        <v>1.54</v>
      </c>
      <c r="AL100" s="37"/>
      <c r="AM100" s="37"/>
      <c r="AN100" s="37"/>
      <c r="AO100" s="37"/>
      <c r="AP100">
        <v>6</v>
      </c>
      <c r="AQ100">
        <v>1.45</v>
      </c>
      <c r="AR100" s="37"/>
      <c r="AS100" s="37"/>
      <c r="AT100" s="36"/>
      <c r="AU100" s="37"/>
    </row>
    <row r="101" spans="1:47" ht="24.75">
      <c r="A101" s="29">
        <v>41080</v>
      </c>
      <c r="B101" s="30" t="s">
        <v>129</v>
      </c>
      <c r="C101" s="31"/>
      <c r="D101" s="32">
        <v>0.186</v>
      </c>
      <c r="E101" s="33">
        <f t="shared" si="6"/>
        <v>0.186</v>
      </c>
      <c r="F101" s="33"/>
      <c r="G101" s="33"/>
      <c r="H101" s="34"/>
      <c r="I101" s="35"/>
      <c r="J101" s="35"/>
      <c r="K101" s="35"/>
      <c r="AD101" s="36"/>
      <c r="AE101" s="37"/>
      <c r="AJ101" s="36"/>
      <c r="AK101" s="37"/>
      <c r="AL101" s="37"/>
      <c r="AM101" s="37"/>
      <c r="AN101" s="37"/>
      <c r="AO101" s="37"/>
      <c r="AR101" s="37"/>
      <c r="AS101" s="37"/>
      <c r="AT101" s="36"/>
      <c r="AU101" s="37"/>
    </row>
    <row r="102" spans="1:47" ht="12.75">
      <c r="A102" s="29">
        <v>44001</v>
      </c>
      <c r="B102" s="30" t="s">
        <v>130</v>
      </c>
      <c r="C102" s="31">
        <v>2.058</v>
      </c>
      <c r="D102" s="32"/>
      <c r="E102" s="33">
        <f t="shared" si="6"/>
        <v>2.058</v>
      </c>
      <c r="F102" s="33">
        <v>0.8</v>
      </c>
      <c r="G102" s="33"/>
      <c r="H102" s="34">
        <f aca="true" t="shared" si="7" ref="H102:H133">F102+G102</f>
        <v>0.8</v>
      </c>
      <c r="I102" s="35" t="e">
        <f>C102-#REF!</f>
        <v>#REF!</v>
      </c>
      <c r="J102" s="35"/>
      <c r="K102" s="35"/>
      <c r="AD102" s="36">
        <v>5</v>
      </c>
      <c r="AE102" s="37">
        <v>2.058</v>
      </c>
      <c r="AL102" s="37"/>
      <c r="AM102" s="37"/>
      <c r="AN102" s="37"/>
      <c r="AO102" s="37"/>
      <c r="AP102" s="36"/>
      <c r="AQ102" s="37"/>
      <c r="AR102" s="37"/>
      <c r="AS102" s="37"/>
      <c r="AT102" s="36"/>
      <c r="AU102" s="37"/>
    </row>
    <row r="103" spans="1:47" ht="12.75">
      <c r="A103" s="29">
        <v>44005</v>
      </c>
      <c r="B103" s="30" t="s">
        <v>131</v>
      </c>
      <c r="C103" s="31">
        <v>1.4929999999999999</v>
      </c>
      <c r="D103" s="32"/>
      <c r="E103" s="33">
        <f t="shared" si="6"/>
        <v>1.4929999999999999</v>
      </c>
      <c r="F103" s="33">
        <v>1.1</v>
      </c>
      <c r="G103" s="33"/>
      <c r="H103" s="34">
        <f t="shared" si="7"/>
        <v>1.1</v>
      </c>
      <c r="I103" s="35" t="e">
        <f>C103-#REF!</f>
        <v>#REF!</v>
      </c>
      <c r="J103" s="35"/>
      <c r="K103" s="35"/>
      <c r="R103" s="36">
        <v>4</v>
      </c>
      <c r="S103" s="37">
        <v>1.4929999999999999</v>
      </c>
      <c r="T103" s="37"/>
      <c r="U103" s="37"/>
      <c r="V103" s="37"/>
      <c r="W103" s="37"/>
      <c r="X103" s="37"/>
      <c r="Y103" s="37"/>
      <c r="AL103" s="37"/>
      <c r="AM103" s="37"/>
      <c r="AN103" s="37"/>
      <c r="AO103" s="37"/>
      <c r="AP103" s="36"/>
      <c r="AQ103" s="37"/>
      <c r="AR103" s="37"/>
      <c r="AS103" s="37"/>
      <c r="AT103" s="36"/>
      <c r="AU103" s="37"/>
    </row>
    <row r="104" spans="1:47" ht="12.75">
      <c r="A104" s="29">
        <v>44006</v>
      </c>
      <c r="B104" s="30" t="s">
        <v>132</v>
      </c>
      <c r="C104" s="31">
        <v>4.34</v>
      </c>
      <c r="D104" s="32"/>
      <c r="E104" s="33">
        <f t="shared" si="6"/>
        <v>4.34</v>
      </c>
      <c r="F104" s="33">
        <v>2</v>
      </c>
      <c r="G104" s="33"/>
      <c r="H104" s="34">
        <f t="shared" si="7"/>
        <v>2</v>
      </c>
      <c r="I104" s="35" t="e">
        <f>C104-#REF!</f>
        <v>#REF!</v>
      </c>
      <c r="J104" s="35"/>
      <c r="K104" s="35"/>
      <c r="R104" s="36">
        <v>4</v>
      </c>
      <c r="S104" s="37">
        <v>3.24</v>
      </c>
      <c r="T104" s="37"/>
      <c r="U104" s="37"/>
      <c r="V104" s="37"/>
      <c r="W104" s="37"/>
      <c r="X104" s="37"/>
      <c r="Y104" s="37"/>
      <c r="AJ104" s="36">
        <v>5.5</v>
      </c>
      <c r="AK104" s="37">
        <v>1.1</v>
      </c>
      <c r="AL104" s="37"/>
      <c r="AM104" s="37"/>
      <c r="AN104" s="37"/>
      <c r="AO104" s="37"/>
      <c r="AR104" s="37"/>
      <c r="AS104" s="37"/>
      <c r="AT104" s="36"/>
      <c r="AU104" s="37"/>
    </row>
    <row r="105" spans="1:47" ht="12.75">
      <c r="A105" s="29">
        <v>44007</v>
      </c>
      <c r="B105" s="30" t="s">
        <v>133</v>
      </c>
      <c r="C105" s="31">
        <v>0.551</v>
      </c>
      <c r="D105" s="32"/>
      <c r="E105" s="33">
        <f t="shared" si="6"/>
        <v>0.551</v>
      </c>
      <c r="F105" s="33">
        <v>0.551</v>
      </c>
      <c r="G105" s="33"/>
      <c r="H105" s="34">
        <f t="shared" si="7"/>
        <v>0.551</v>
      </c>
      <c r="I105" s="35" t="e">
        <f>C105-#REF!</f>
        <v>#REF!</v>
      </c>
      <c r="J105" s="35"/>
      <c r="K105" s="35"/>
      <c r="AD105" s="36">
        <v>5</v>
      </c>
      <c r="AE105" s="37">
        <v>0.551</v>
      </c>
      <c r="AL105" s="37"/>
      <c r="AM105" s="37"/>
      <c r="AN105" s="37"/>
      <c r="AO105" s="37"/>
      <c r="AP105" s="36"/>
      <c r="AQ105" s="37"/>
      <c r="AR105" s="37"/>
      <c r="AS105" s="37"/>
      <c r="AT105" s="36"/>
      <c r="AU105" s="37"/>
    </row>
    <row r="106" spans="1:47" ht="24.75">
      <c r="A106" s="29">
        <v>44010</v>
      </c>
      <c r="B106" s="30" t="s">
        <v>134</v>
      </c>
      <c r="C106" s="31">
        <v>8.117</v>
      </c>
      <c r="D106" s="32">
        <v>1.6</v>
      </c>
      <c r="E106" s="33">
        <f t="shared" si="6"/>
        <v>9.717</v>
      </c>
      <c r="F106" s="33">
        <v>4.24</v>
      </c>
      <c r="G106" s="33"/>
      <c r="H106" s="34">
        <f t="shared" si="7"/>
        <v>4.24</v>
      </c>
      <c r="I106" s="35" t="e">
        <f>C106-#REF!</f>
        <v>#REF!</v>
      </c>
      <c r="J106" s="35"/>
      <c r="K106" s="35"/>
      <c r="AJ106" s="36">
        <v>5.5</v>
      </c>
      <c r="AK106" s="37">
        <v>8.117</v>
      </c>
      <c r="AL106" s="37"/>
      <c r="AM106" s="37"/>
      <c r="AN106" s="37"/>
      <c r="AO106" s="37"/>
      <c r="AP106" s="36"/>
      <c r="AQ106" s="37"/>
      <c r="AR106" s="37"/>
      <c r="AS106" s="37"/>
      <c r="AT106" s="36"/>
      <c r="AU106" s="37"/>
    </row>
    <row r="107" spans="1:45" ht="22.5">
      <c r="A107" s="29">
        <v>44011</v>
      </c>
      <c r="B107" s="30" t="s">
        <v>135</v>
      </c>
      <c r="C107" s="31">
        <v>8.393</v>
      </c>
      <c r="D107" s="32"/>
      <c r="E107" s="33">
        <f t="shared" si="6"/>
        <v>8.393</v>
      </c>
      <c r="F107" s="33">
        <v>1.56</v>
      </c>
      <c r="G107" s="33"/>
      <c r="H107" s="34">
        <f t="shared" si="7"/>
        <v>1.56</v>
      </c>
      <c r="I107" s="35" t="e">
        <f>C107-#REF!</f>
        <v>#REF!</v>
      </c>
      <c r="J107" s="35"/>
      <c r="K107" s="35"/>
      <c r="X107" s="36">
        <v>4.4</v>
      </c>
      <c r="Y107" s="37">
        <v>7.5</v>
      </c>
      <c r="AD107" s="36">
        <v>5</v>
      </c>
      <c r="AE107" s="37">
        <v>0.7</v>
      </c>
      <c r="AL107" s="37"/>
      <c r="AM107" s="37"/>
      <c r="AN107" s="37"/>
      <c r="AO107" s="37"/>
      <c r="AP107" s="36">
        <v>6</v>
      </c>
      <c r="AQ107" s="37">
        <v>0.193</v>
      </c>
      <c r="AR107" s="37"/>
      <c r="AS107" s="37"/>
    </row>
    <row r="108" spans="1:47" ht="12.75">
      <c r="A108" s="29">
        <v>44013</v>
      </c>
      <c r="B108" s="30" t="s">
        <v>136</v>
      </c>
      <c r="C108" s="31">
        <v>0.15</v>
      </c>
      <c r="D108" s="32">
        <v>7.275</v>
      </c>
      <c r="E108" s="33">
        <f t="shared" si="6"/>
        <v>7.425000000000001</v>
      </c>
      <c r="F108" s="33">
        <v>0.65</v>
      </c>
      <c r="G108" s="33"/>
      <c r="H108" s="34">
        <f t="shared" si="7"/>
        <v>0.65</v>
      </c>
      <c r="I108" s="35" t="e">
        <f>C108-#REF!</f>
        <v>#REF!</v>
      </c>
      <c r="J108" s="35"/>
      <c r="K108" s="35"/>
      <c r="R108" s="36">
        <v>4</v>
      </c>
      <c r="S108" s="37">
        <v>0.15</v>
      </c>
      <c r="T108" s="37"/>
      <c r="U108" s="37"/>
      <c r="V108" s="37"/>
      <c r="W108" s="37"/>
      <c r="AL108" s="37"/>
      <c r="AM108" s="37"/>
      <c r="AN108" s="37"/>
      <c r="AO108" s="37"/>
      <c r="AP108" s="36"/>
      <c r="AQ108" s="37"/>
      <c r="AR108" s="37"/>
      <c r="AS108" s="37"/>
      <c r="AT108" s="36"/>
      <c r="AU108" s="37"/>
    </row>
    <row r="109" spans="1:47" ht="12.75">
      <c r="A109" s="29">
        <v>44014</v>
      </c>
      <c r="B109" s="30" t="s">
        <v>137</v>
      </c>
      <c r="C109" s="31">
        <v>3.378</v>
      </c>
      <c r="D109" s="32"/>
      <c r="E109" s="33">
        <f t="shared" si="6"/>
        <v>3.378</v>
      </c>
      <c r="F109" s="33">
        <v>1.5</v>
      </c>
      <c r="G109" s="33"/>
      <c r="H109" s="34">
        <f t="shared" si="7"/>
        <v>1.5</v>
      </c>
      <c r="I109" s="35" t="e">
        <f>C109-#REF!</f>
        <v>#REF!</v>
      </c>
      <c r="J109" s="35"/>
      <c r="K109" s="35"/>
      <c r="AJ109" s="36">
        <v>5.5</v>
      </c>
      <c r="AK109" s="37">
        <f>3.4-0.022</f>
        <v>3.378</v>
      </c>
      <c r="AL109" s="37"/>
      <c r="AM109" s="37"/>
      <c r="AN109" s="37"/>
      <c r="AO109" s="37"/>
      <c r="AP109" s="36"/>
      <c r="AQ109" s="37"/>
      <c r="AR109" s="37"/>
      <c r="AS109" s="37"/>
      <c r="AT109" s="36"/>
      <c r="AU109" s="37"/>
    </row>
    <row r="110" spans="1:47" ht="12.75">
      <c r="A110" s="29">
        <v>44015</v>
      </c>
      <c r="B110" s="30" t="s">
        <v>138</v>
      </c>
      <c r="C110" s="31">
        <v>0.76</v>
      </c>
      <c r="D110" s="32">
        <v>3.818</v>
      </c>
      <c r="E110" s="33">
        <f t="shared" si="6"/>
        <v>4.578</v>
      </c>
      <c r="F110" s="33">
        <v>0.76</v>
      </c>
      <c r="G110" s="33">
        <v>0</v>
      </c>
      <c r="H110" s="34">
        <f t="shared" si="7"/>
        <v>0.76</v>
      </c>
      <c r="I110" s="35" t="e">
        <f>C110-#REF!</f>
        <v>#REF!</v>
      </c>
      <c r="J110" s="35"/>
      <c r="K110" s="35"/>
      <c r="AJ110" s="36">
        <v>5.5</v>
      </c>
      <c r="AK110" s="37">
        <v>0.76</v>
      </c>
      <c r="AL110" s="37"/>
      <c r="AM110" s="37"/>
      <c r="AN110" s="37"/>
      <c r="AO110" s="37"/>
      <c r="AP110" s="36"/>
      <c r="AQ110" s="37"/>
      <c r="AR110" s="37"/>
      <c r="AS110" s="37"/>
      <c r="AT110" s="36"/>
      <c r="AU110" s="37"/>
    </row>
    <row r="111" spans="1:47" ht="24.75">
      <c r="A111" s="29">
        <v>44016</v>
      </c>
      <c r="B111" s="30" t="s">
        <v>139</v>
      </c>
      <c r="C111" s="31">
        <v>2.492</v>
      </c>
      <c r="D111" s="32">
        <f>3.45-1.2-0.5+0.18</f>
        <v>1.93</v>
      </c>
      <c r="E111" s="33">
        <f t="shared" si="6"/>
        <v>4.422</v>
      </c>
      <c r="F111" s="33">
        <v>1.06</v>
      </c>
      <c r="G111" s="33"/>
      <c r="H111" s="34">
        <f t="shared" si="7"/>
        <v>1.06</v>
      </c>
      <c r="I111" s="35" t="e">
        <f>C111-#REF!</f>
        <v>#REF!</v>
      </c>
      <c r="J111" s="35"/>
      <c r="K111" s="35"/>
      <c r="AD111" s="36">
        <v>5</v>
      </c>
      <c r="AE111" s="37">
        <v>0.522</v>
      </c>
      <c r="AJ111" s="36">
        <v>5.5</v>
      </c>
      <c r="AK111" s="37">
        <v>1.97</v>
      </c>
      <c r="AL111" s="37"/>
      <c r="AM111" s="37"/>
      <c r="AN111" s="37"/>
      <c r="AO111" s="37"/>
      <c r="AR111" s="37"/>
      <c r="AS111" s="37"/>
      <c r="AT111" s="36"/>
      <c r="AU111" s="37"/>
    </row>
    <row r="112" spans="1:47" ht="12.75">
      <c r="A112" s="29">
        <v>44017</v>
      </c>
      <c r="B112" s="30" t="s">
        <v>140</v>
      </c>
      <c r="C112" s="31">
        <v>2.258</v>
      </c>
      <c r="D112" s="32"/>
      <c r="E112" s="33">
        <f t="shared" si="6"/>
        <v>2.258</v>
      </c>
      <c r="F112" s="33">
        <v>1.67</v>
      </c>
      <c r="G112" s="33"/>
      <c r="H112" s="34">
        <f t="shared" si="7"/>
        <v>1.67</v>
      </c>
      <c r="I112" s="35" t="e">
        <f>C112-#REF!</f>
        <v>#REF!</v>
      </c>
      <c r="J112" s="35"/>
      <c r="K112" s="35"/>
      <c r="AJ112" s="36">
        <v>5.5</v>
      </c>
      <c r="AK112" s="37">
        <v>2.258</v>
      </c>
      <c r="AL112" s="37"/>
      <c r="AM112" s="37"/>
      <c r="AN112" s="37"/>
      <c r="AO112" s="37"/>
      <c r="AP112" s="36"/>
      <c r="AQ112" s="37"/>
      <c r="AR112" s="37"/>
      <c r="AS112" s="37"/>
      <c r="AT112" s="36"/>
      <c r="AU112" s="37"/>
    </row>
    <row r="113" spans="1:47" ht="12.75">
      <c r="A113" s="29">
        <v>44018</v>
      </c>
      <c r="B113" s="30" t="s">
        <v>141</v>
      </c>
      <c r="C113" s="31">
        <v>0</v>
      </c>
      <c r="D113" s="32">
        <v>4.606</v>
      </c>
      <c r="E113" s="33">
        <f t="shared" si="6"/>
        <v>4.606</v>
      </c>
      <c r="F113" s="33"/>
      <c r="G113" s="33"/>
      <c r="H113" s="34">
        <f t="shared" si="7"/>
        <v>0</v>
      </c>
      <c r="I113" s="35" t="e">
        <f>C113-#REF!</f>
        <v>#REF!</v>
      </c>
      <c r="J113" s="35"/>
      <c r="K113" s="35"/>
      <c r="AJ113" s="36"/>
      <c r="AK113" s="37"/>
      <c r="AL113" s="37"/>
      <c r="AM113" s="37"/>
      <c r="AN113" s="37"/>
      <c r="AO113" s="37"/>
      <c r="AP113" s="36"/>
      <c r="AQ113" s="37"/>
      <c r="AR113" s="37"/>
      <c r="AS113" s="37"/>
      <c r="AT113" s="36"/>
      <c r="AU113" s="37"/>
    </row>
    <row r="114" spans="1:47" ht="12.75">
      <c r="A114" s="29">
        <v>44019</v>
      </c>
      <c r="B114" s="30" t="s">
        <v>142</v>
      </c>
      <c r="C114" s="31">
        <v>4.162</v>
      </c>
      <c r="D114" s="32"/>
      <c r="E114" s="33">
        <f t="shared" si="6"/>
        <v>4.162</v>
      </c>
      <c r="F114" s="33">
        <v>1.99</v>
      </c>
      <c r="G114" s="33"/>
      <c r="H114" s="34">
        <f t="shared" si="7"/>
        <v>1.99</v>
      </c>
      <c r="I114" s="35" t="e">
        <f>C114-#REF!</f>
        <v>#REF!</v>
      </c>
      <c r="J114" s="35"/>
      <c r="K114" s="35"/>
      <c r="AD114" s="36">
        <v>5</v>
      </c>
      <c r="AE114" s="37">
        <f>1.2-0.038</f>
        <v>1.162</v>
      </c>
      <c r="AJ114" s="36">
        <v>5.5</v>
      </c>
      <c r="AK114" s="37">
        <f>3</f>
        <v>3</v>
      </c>
      <c r="AL114" s="37"/>
      <c r="AM114" s="37"/>
      <c r="AN114" s="37"/>
      <c r="AO114" s="37"/>
      <c r="AR114" s="37"/>
      <c r="AS114" s="37"/>
      <c r="AT114" s="36"/>
      <c r="AU114" s="37"/>
    </row>
    <row r="115" spans="1:47" ht="24.75">
      <c r="A115" s="29">
        <v>44020</v>
      </c>
      <c r="B115" s="30" t="s">
        <v>143</v>
      </c>
      <c r="C115" s="31">
        <v>11.932</v>
      </c>
      <c r="D115" s="72"/>
      <c r="E115" s="33">
        <f t="shared" si="6"/>
        <v>11.932</v>
      </c>
      <c r="F115" s="33">
        <v>2.77</v>
      </c>
      <c r="G115" s="33"/>
      <c r="H115" s="34">
        <f t="shared" si="7"/>
        <v>2.77</v>
      </c>
      <c r="I115" s="35" t="e">
        <f>C115-#REF!</f>
        <v>#REF!</v>
      </c>
      <c r="J115" s="35"/>
      <c r="K115" s="35"/>
      <c r="R115" s="36">
        <v>4</v>
      </c>
      <c r="S115" s="37">
        <v>3.532</v>
      </c>
      <c r="T115" s="37"/>
      <c r="U115" s="37"/>
      <c r="V115" s="37"/>
      <c r="W115" s="37"/>
      <c r="AD115" s="36">
        <v>5</v>
      </c>
      <c r="AE115" s="37">
        <v>8.4</v>
      </c>
      <c r="AL115" s="37"/>
      <c r="AM115" s="37"/>
      <c r="AN115" s="37"/>
      <c r="AO115" s="37"/>
      <c r="AR115" s="37"/>
      <c r="AS115" s="37"/>
      <c r="AT115" s="36"/>
      <c r="AU115" s="37"/>
    </row>
    <row r="116" spans="1:47" ht="12.75">
      <c r="A116" s="29">
        <v>44021</v>
      </c>
      <c r="B116" s="30" t="s">
        <v>144</v>
      </c>
      <c r="C116" s="31">
        <v>5.471</v>
      </c>
      <c r="D116" s="32"/>
      <c r="E116" s="33">
        <f t="shared" si="6"/>
        <v>5.471</v>
      </c>
      <c r="F116" s="33">
        <v>1.6</v>
      </c>
      <c r="G116" s="33"/>
      <c r="H116" s="34">
        <f t="shared" si="7"/>
        <v>1.6</v>
      </c>
      <c r="I116" s="35" t="e">
        <f>C116-#REF!</f>
        <v>#REF!</v>
      </c>
      <c r="J116" s="35"/>
      <c r="K116" s="35"/>
      <c r="AD116" s="36">
        <v>5</v>
      </c>
      <c r="AE116" s="37">
        <f>5.5-0.029</f>
        <v>5.471</v>
      </c>
      <c r="AL116" s="37"/>
      <c r="AM116" s="37"/>
      <c r="AN116" s="37"/>
      <c r="AO116" s="37"/>
      <c r="AP116" s="36"/>
      <c r="AQ116" s="37"/>
      <c r="AR116" s="37"/>
      <c r="AS116" s="37"/>
      <c r="AT116" s="36"/>
      <c r="AU116" s="37"/>
    </row>
    <row r="117" spans="1:47" ht="12.75">
      <c r="A117" s="29">
        <v>44022</v>
      </c>
      <c r="B117" s="30" t="s">
        <v>145</v>
      </c>
      <c r="C117" s="31">
        <v>1.617</v>
      </c>
      <c r="D117" s="32"/>
      <c r="E117" s="33">
        <f t="shared" si="6"/>
        <v>1.617</v>
      </c>
      <c r="F117" s="33">
        <v>1.617</v>
      </c>
      <c r="G117" s="33"/>
      <c r="H117" s="34">
        <f t="shared" si="7"/>
        <v>1.617</v>
      </c>
      <c r="I117" s="35" t="e">
        <f>C117-#REF!</f>
        <v>#REF!</v>
      </c>
      <c r="J117" s="35"/>
      <c r="K117" s="35"/>
      <c r="AD117" s="36">
        <v>5</v>
      </c>
      <c r="AE117" s="37">
        <v>1.617</v>
      </c>
      <c r="AL117" s="37"/>
      <c r="AM117" s="37"/>
      <c r="AN117" s="37"/>
      <c r="AO117" s="37"/>
      <c r="AP117" s="36"/>
      <c r="AQ117" s="37"/>
      <c r="AR117" s="37"/>
      <c r="AS117" s="37"/>
      <c r="AT117" s="36"/>
      <c r="AU117" s="37"/>
    </row>
    <row r="118" spans="1:45" ht="12.75">
      <c r="A118" s="29">
        <v>44023</v>
      </c>
      <c r="B118" s="30" t="s">
        <v>146</v>
      </c>
      <c r="C118" s="31">
        <v>7.4</v>
      </c>
      <c r="D118" s="32">
        <v>4.189</v>
      </c>
      <c r="E118" s="33">
        <f t="shared" si="6"/>
        <v>11.589</v>
      </c>
      <c r="F118" s="33">
        <v>3.31</v>
      </c>
      <c r="G118" s="33"/>
      <c r="H118" s="34">
        <f t="shared" si="7"/>
        <v>3.31</v>
      </c>
      <c r="I118" s="35" t="e">
        <f>C118-#REF!</f>
        <v>#REF!</v>
      </c>
      <c r="J118" s="35"/>
      <c r="K118" s="35"/>
      <c r="N118" s="36">
        <v>3</v>
      </c>
      <c r="O118" s="37">
        <v>0.6000000000000001</v>
      </c>
      <c r="R118" s="36">
        <v>4</v>
      </c>
      <c r="S118" s="37">
        <v>1.3</v>
      </c>
      <c r="T118" s="37"/>
      <c r="U118" s="37"/>
      <c r="V118" s="37"/>
      <c r="W118" s="37"/>
      <c r="AD118" s="36">
        <v>5</v>
      </c>
      <c r="AE118" s="37">
        <v>1.1</v>
      </c>
      <c r="AJ118" s="36">
        <v>5.5</v>
      </c>
      <c r="AK118" s="37">
        <v>4.4</v>
      </c>
      <c r="AL118" s="37"/>
      <c r="AM118" s="37"/>
      <c r="AN118" s="37"/>
      <c r="AO118" s="37"/>
      <c r="AR118" s="37"/>
      <c r="AS118" s="37"/>
    </row>
    <row r="119" spans="1:47" ht="22.5">
      <c r="A119" s="29">
        <v>44024</v>
      </c>
      <c r="B119" s="30" t="s">
        <v>147</v>
      </c>
      <c r="C119" s="31">
        <v>4.202</v>
      </c>
      <c r="D119" s="32"/>
      <c r="E119" s="33">
        <f t="shared" si="6"/>
        <v>4.202</v>
      </c>
      <c r="F119" s="33">
        <v>2.96</v>
      </c>
      <c r="G119" s="33"/>
      <c r="H119" s="34">
        <f t="shared" si="7"/>
        <v>2.96</v>
      </c>
      <c r="I119" s="35" t="e">
        <f>C119-#REF!</f>
        <v>#REF!</v>
      </c>
      <c r="J119" s="35"/>
      <c r="K119" s="35"/>
      <c r="AD119" s="36">
        <v>5</v>
      </c>
      <c r="AE119" s="37">
        <v>4.202</v>
      </c>
      <c r="AL119" s="37"/>
      <c r="AM119" s="37"/>
      <c r="AN119" s="37"/>
      <c r="AO119" s="37"/>
      <c r="AP119" s="36"/>
      <c r="AQ119" s="37"/>
      <c r="AR119" s="37"/>
      <c r="AS119" s="37"/>
      <c r="AT119" s="36"/>
      <c r="AU119" s="37"/>
    </row>
    <row r="120" spans="1:47" ht="12.75">
      <c r="A120" s="29">
        <v>44025</v>
      </c>
      <c r="B120" s="30" t="s">
        <v>148</v>
      </c>
      <c r="C120" s="31">
        <v>0.45</v>
      </c>
      <c r="D120" s="32">
        <v>3.656</v>
      </c>
      <c r="E120" s="33">
        <f t="shared" si="6"/>
        <v>4.106</v>
      </c>
      <c r="F120" s="33">
        <v>0.22</v>
      </c>
      <c r="G120" s="33"/>
      <c r="H120" s="34">
        <f t="shared" si="7"/>
        <v>0.22</v>
      </c>
      <c r="I120" s="35" t="e">
        <f>C120-#REF!</f>
        <v>#REF!</v>
      </c>
      <c r="J120" s="35"/>
      <c r="K120" s="35"/>
      <c r="Z120" s="36">
        <v>4.5</v>
      </c>
      <c r="AA120" s="37">
        <v>0.45</v>
      </c>
      <c r="AL120" s="37"/>
      <c r="AM120" s="37"/>
      <c r="AN120" s="37"/>
      <c r="AO120" s="37"/>
      <c r="AP120" s="36"/>
      <c r="AQ120" s="37"/>
      <c r="AR120" s="37"/>
      <c r="AS120" s="37"/>
      <c r="AT120" s="36"/>
      <c r="AU120" s="37"/>
    </row>
    <row r="121" spans="1:47" ht="12.75">
      <c r="A121" s="29">
        <v>44026</v>
      </c>
      <c r="B121" s="30" t="s">
        <v>149</v>
      </c>
      <c r="C121" s="31">
        <v>2.6</v>
      </c>
      <c r="D121" s="32">
        <v>1.39</v>
      </c>
      <c r="E121" s="33">
        <f t="shared" si="6"/>
        <v>3.99</v>
      </c>
      <c r="F121" s="33"/>
      <c r="G121" s="33"/>
      <c r="H121" s="34">
        <f t="shared" si="7"/>
        <v>0</v>
      </c>
      <c r="I121" s="35" t="e">
        <f>C121-#REF!</f>
        <v>#REF!</v>
      </c>
      <c r="J121" s="35"/>
      <c r="K121" s="35"/>
      <c r="L121" s="36">
        <v>2.5</v>
      </c>
      <c r="M121" s="37">
        <v>2.6</v>
      </c>
      <c r="AL121" s="37"/>
      <c r="AM121" s="37"/>
      <c r="AN121" s="37"/>
      <c r="AO121" s="37"/>
      <c r="AP121" s="36"/>
      <c r="AQ121" s="37"/>
      <c r="AR121" s="37"/>
      <c r="AS121" s="37"/>
      <c r="AT121" s="36"/>
      <c r="AU121" s="37"/>
    </row>
    <row r="122" spans="1:47" ht="12.75">
      <c r="A122" s="29">
        <v>44027</v>
      </c>
      <c r="B122" s="30" t="s">
        <v>150</v>
      </c>
      <c r="C122" s="31">
        <v>2.109</v>
      </c>
      <c r="D122" s="32">
        <f>1.1-1.1</f>
        <v>0</v>
      </c>
      <c r="E122" s="33">
        <f t="shared" si="6"/>
        <v>2.109</v>
      </c>
      <c r="F122" s="33">
        <v>0.95</v>
      </c>
      <c r="G122" s="33"/>
      <c r="H122" s="34">
        <f t="shared" si="7"/>
        <v>0.95</v>
      </c>
      <c r="I122" s="35" t="e">
        <f>C122-#REF!</f>
        <v>#REF!</v>
      </c>
      <c r="J122" s="35"/>
      <c r="K122" s="35"/>
      <c r="AJ122" s="36">
        <v>5.5</v>
      </c>
      <c r="AK122" s="37">
        <v>2.109</v>
      </c>
      <c r="AL122" s="37"/>
      <c r="AM122" s="37"/>
      <c r="AN122" s="37"/>
      <c r="AO122" s="37"/>
      <c r="AP122" s="36"/>
      <c r="AQ122" s="37"/>
      <c r="AR122" s="37"/>
      <c r="AS122" s="37"/>
      <c r="AT122" s="36"/>
      <c r="AU122" s="37"/>
    </row>
    <row r="123" spans="1:45" ht="24.75">
      <c r="A123" s="29">
        <v>44028</v>
      </c>
      <c r="B123" s="30" t="s">
        <v>151</v>
      </c>
      <c r="C123" s="31">
        <f>2.7+2.3</f>
        <v>5</v>
      </c>
      <c r="D123" s="32">
        <v>7.473</v>
      </c>
      <c r="E123" s="33">
        <f t="shared" si="6"/>
        <v>12.472999999999999</v>
      </c>
      <c r="F123" s="33">
        <v>1.25</v>
      </c>
      <c r="G123" s="33">
        <v>0</v>
      </c>
      <c r="H123" s="34">
        <f t="shared" si="7"/>
        <v>1.25</v>
      </c>
      <c r="I123" s="35" t="e">
        <f>C123-#REF!</f>
        <v>#REF!</v>
      </c>
      <c r="J123" s="35"/>
      <c r="K123" s="35"/>
      <c r="N123" s="36">
        <v>3</v>
      </c>
      <c r="O123" s="37">
        <v>0.1</v>
      </c>
      <c r="P123" s="36">
        <v>3.5</v>
      </c>
      <c r="Q123" s="37">
        <v>0.30000000000000004</v>
      </c>
      <c r="R123" s="36">
        <v>4</v>
      </c>
      <c r="S123" s="37">
        <v>0.65</v>
      </c>
      <c r="T123" s="37"/>
      <c r="U123" s="37"/>
      <c r="V123" s="37"/>
      <c r="W123" s="37"/>
      <c r="AD123" s="36">
        <v>5</v>
      </c>
      <c r="AE123" s="37">
        <v>3.6</v>
      </c>
      <c r="AL123" s="37"/>
      <c r="AM123" s="37"/>
      <c r="AN123" s="37"/>
      <c r="AO123" s="37"/>
      <c r="AP123" s="36">
        <v>6</v>
      </c>
      <c r="AQ123" s="37">
        <v>0.30000000000000004</v>
      </c>
      <c r="AR123" s="37"/>
      <c r="AS123" s="37"/>
    </row>
    <row r="124" spans="1:47" ht="12.75">
      <c r="A124" s="29">
        <v>44029</v>
      </c>
      <c r="B124" s="30" t="s">
        <v>152</v>
      </c>
      <c r="C124" s="31">
        <v>0.73</v>
      </c>
      <c r="D124" s="32"/>
      <c r="E124" s="33">
        <f t="shared" si="6"/>
        <v>0.73</v>
      </c>
      <c r="F124" s="33">
        <v>0.73</v>
      </c>
      <c r="G124" s="33"/>
      <c r="H124" s="34">
        <f t="shared" si="7"/>
        <v>0.73</v>
      </c>
      <c r="I124" s="35" t="e">
        <f>C124-#REF!</f>
        <v>#REF!</v>
      </c>
      <c r="J124" s="35"/>
      <c r="K124" s="35"/>
      <c r="AD124" s="36">
        <v>5</v>
      </c>
      <c r="AE124" s="37">
        <v>0.73</v>
      </c>
      <c r="AL124" s="37"/>
      <c r="AM124" s="37"/>
      <c r="AN124" s="37"/>
      <c r="AO124" s="37"/>
      <c r="AP124" s="36"/>
      <c r="AQ124" s="37"/>
      <c r="AR124" s="37"/>
      <c r="AS124" s="37"/>
      <c r="AT124" s="36"/>
      <c r="AU124" s="37"/>
    </row>
    <row r="125" spans="1:47" ht="12.75">
      <c r="A125" s="29">
        <v>44030</v>
      </c>
      <c r="B125" s="30" t="s">
        <v>153</v>
      </c>
      <c r="C125" s="31">
        <v>1.061</v>
      </c>
      <c r="D125" s="32"/>
      <c r="E125" s="33">
        <f t="shared" si="6"/>
        <v>1.061</v>
      </c>
      <c r="F125" s="33">
        <v>1.061</v>
      </c>
      <c r="G125" s="33"/>
      <c r="H125" s="34">
        <f t="shared" si="7"/>
        <v>1.061</v>
      </c>
      <c r="I125" s="35" t="e">
        <f>C125-#REF!</f>
        <v>#REF!</v>
      </c>
      <c r="J125" s="35"/>
      <c r="K125" s="35"/>
      <c r="R125" s="36">
        <v>4</v>
      </c>
      <c r="S125" s="37">
        <f>1.1-0.039</f>
        <v>1.0610000000000002</v>
      </c>
      <c r="T125" s="37"/>
      <c r="U125" s="37"/>
      <c r="V125" s="37"/>
      <c r="W125" s="37"/>
      <c r="AL125" s="37"/>
      <c r="AM125" s="37"/>
      <c r="AN125" s="37"/>
      <c r="AO125" s="37"/>
      <c r="AP125" s="36"/>
      <c r="AQ125" s="37"/>
      <c r="AR125" s="37"/>
      <c r="AS125" s="37"/>
      <c r="AT125" s="36"/>
      <c r="AU125" s="37"/>
    </row>
    <row r="126" spans="1:47" ht="12.75">
      <c r="A126" s="29">
        <v>44032</v>
      </c>
      <c r="B126" s="30" t="s">
        <v>154</v>
      </c>
      <c r="C126" s="31">
        <v>1.25</v>
      </c>
      <c r="D126" s="32">
        <v>5.956</v>
      </c>
      <c r="E126" s="33">
        <f t="shared" si="6"/>
        <v>7.206</v>
      </c>
      <c r="F126" s="33">
        <v>1.25</v>
      </c>
      <c r="G126" s="33"/>
      <c r="H126" s="34">
        <f t="shared" si="7"/>
        <v>1.25</v>
      </c>
      <c r="I126" s="35" t="e">
        <f>C126-#REF!</f>
        <v>#REF!</v>
      </c>
      <c r="J126" s="35"/>
      <c r="K126" s="35"/>
      <c r="T126" s="36">
        <v>4.2</v>
      </c>
      <c r="U126" s="37">
        <v>0.8</v>
      </c>
      <c r="AJ126" s="36">
        <v>5.5</v>
      </c>
      <c r="AK126" s="37">
        <v>0.45</v>
      </c>
      <c r="AL126" s="37"/>
      <c r="AM126" s="37"/>
      <c r="AN126" s="37"/>
      <c r="AO126" s="37"/>
      <c r="AR126" s="37"/>
      <c r="AS126" s="37"/>
      <c r="AT126" s="36"/>
      <c r="AU126" s="37"/>
    </row>
    <row r="127" spans="1:47" ht="12.75">
      <c r="A127" s="29">
        <v>44033</v>
      </c>
      <c r="B127" s="30" t="s">
        <v>155</v>
      </c>
      <c r="C127" s="31">
        <v>0.854</v>
      </c>
      <c r="D127" s="32"/>
      <c r="E127" s="33">
        <f t="shared" si="6"/>
        <v>0.854</v>
      </c>
      <c r="F127" s="33">
        <v>0.854</v>
      </c>
      <c r="G127" s="33"/>
      <c r="H127" s="34">
        <f t="shared" si="7"/>
        <v>0.854</v>
      </c>
      <c r="I127" s="35" t="e">
        <f>C127-#REF!</f>
        <v>#REF!</v>
      </c>
      <c r="J127" s="35"/>
      <c r="K127" s="35"/>
      <c r="V127" s="36">
        <v>4.3</v>
      </c>
      <c r="W127" s="37">
        <f>0.9-0.046</f>
        <v>0.854</v>
      </c>
      <c r="AL127" s="37"/>
      <c r="AM127" s="37"/>
      <c r="AN127" s="37"/>
      <c r="AO127" s="37"/>
      <c r="AP127" s="36"/>
      <c r="AQ127" s="37"/>
      <c r="AR127" s="37"/>
      <c r="AS127" s="37"/>
      <c r="AT127" s="36"/>
      <c r="AU127" s="37"/>
    </row>
    <row r="128" spans="1:47" ht="12.75">
      <c r="A128" s="29">
        <v>44034</v>
      </c>
      <c r="B128" s="30" t="s">
        <v>156</v>
      </c>
      <c r="C128" s="31">
        <v>10.432</v>
      </c>
      <c r="D128" s="32"/>
      <c r="E128" s="33">
        <f t="shared" si="6"/>
        <v>10.432</v>
      </c>
      <c r="F128" s="33">
        <v>1.23</v>
      </c>
      <c r="G128" s="33"/>
      <c r="H128" s="34">
        <f t="shared" si="7"/>
        <v>1.23</v>
      </c>
      <c r="I128" s="35" t="e">
        <f>C128-#REF!</f>
        <v>#REF!</v>
      </c>
      <c r="J128" s="35"/>
      <c r="K128" s="35"/>
      <c r="V128" s="36">
        <v>4.3</v>
      </c>
      <c r="W128" s="37">
        <v>5.2</v>
      </c>
      <c r="Z128" s="36">
        <v>4.5</v>
      </c>
      <c r="AA128" s="37">
        <f>5.3-0.068</f>
        <v>5.232</v>
      </c>
      <c r="AL128" s="37"/>
      <c r="AM128" s="37"/>
      <c r="AN128" s="37"/>
      <c r="AO128" s="37"/>
      <c r="AR128" s="37"/>
      <c r="AS128" s="37"/>
      <c r="AT128" s="36"/>
      <c r="AU128" s="37"/>
    </row>
    <row r="129" spans="1:47" ht="12.75">
      <c r="A129" s="29">
        <v>44035</v>
      </c>
      <c r="B129" s="30" t="s">
        <v>157</v>
      </c>
      <c r="C129" s="31">
        <v>3.737</v>
      </c>
      <c r="D129" s="32"/>
      <c r="E129" s="33">
        <f t="shared" si="6"/>
        <v>3.737</v>
      </c>
      <c r="F129" s="33"/>
      <c r="G129" s="33"/>
      <c r="H129" s="34">
        <f t="shared" si="7"/>
        <v>0</v>
      </c>
      <c r="I129" s="35" t="e">
        <f>C129-#REF!</f>
        <v>#REF!</v>
      </c>
      <c r="J129" s="35"/>
      <c r="K129" s="35"/>
      <c r="N129" s="36">
        <v>3</v>
      </c>
      <c r="O129" s="37">
        <v>3.637</v>
      </c>
      <c r="AL129" s="37"/>
      <c r="AM129" s="37"/>
      <c r="AN129" s="37"/>
      <c r="AO129" s="37"/>
      <c r="AP129" s="36">
        <v>6</v>
      </c>
      <c r="AQ129" s="37">
        <v>0.1</v>
      </c>
      <c r="AR129" s="37"/>
      <c r="AS129" s="37"/>
      <c r="AT129" s="36"/>
      <c r="AU129" s="37"/>
    </row>
    <row r="130" spans="1:47" ht="12.75">
      <c r="A130" s="29">
        <v>44037</v>
      </c>
      <c r="B130" s="30" t="s">
        <v>158</v>
      </c>
      <c r="C130" s="31">
        <v>4.858</v>
      </c>
      <c r="D130" s="32"/>
      <c r="E130" s="33">
        <f t="shared" si="6"/>
        <v>4.858</v>
      </c>
      <c r="F130" s="33">
        <v>2.29</v>
      </c>
      <c r="G130" s="33"/>
      <c r="H130" s="34">
        <f t="shared" si="7"/>
        <v>2.29</v>
      </c>
      <c r="I130" s="35" t="e">
        <f>C130-#REF!</f>
        <v>#REF!</v>
      </c>
      <c r="J130" s="35"/>
      <c r="K130" s="35"/>
      <c r="AD130" s="36">
        <v>5</v>
      </c>
      <c r="AE130" s="37">
        <v>2.425</v>
      </c>
      <c r="AJ130" s="36">
        <v>5.5</v>
      </c>
      <c r="AK130" s="37">
        <f>0.775+1.7-0.042</f>
        <v>2.4330000000000003</v>
      </c>
      <c r="AL130" s="37"/>
      <c r="AM130" s="37"/>
      <c r="AN130" s="37"/>
      <c r="AO130" s="37"/>
      <c r="AR130" s="37"/>
      <c r="AS130" s="37"/>
      <c r="AT130" s="36"/>
      <c r="AU130" s="37"/>
    </row>
    <row r="131" spans="1:47" ht="12.75">
      <c r="A131" s="29">
        <v>44038</v>
      </c>
      <c r="B131" s="30" t="s">
        <v>159</v>
      </c>
      <c r="C131" s="31">
        <v>3.37</v>
      </c>
      <c r="D131" s="32"/>
      <c r="E131" s="33">
        <f aca="true" t="shared" si="8" ref="E131:E162">C131+D131</f>
        <v>3.37</v>
      </c>
      <c r="F131" s="33">
        <v>1.22</v>
      </c>
      <c r="G131" s="33"/>
      <c r="H131" s="34">
        <f t="shared" si="7"/>
        <v>1.22</v>
      </c>
      <c r="I131" s="35" t="e">
        <f>C131-#REF!</f>
        <v>#REF!</v>
      </c>
      <c r="J131" s="39"/>
      <c r="K131" s="39"/>
      <c r="AJ131" s="36">
        <v>5.5</v>
      </c>
      <c r="AK131" s="37">
        <f>3.4-0.03</f>
        <v>3.37</v>
      </c>
      <c r="AL131" s="37"/>
      <c r="AM131" s="37"/>
      <c r="AN131" s="37"/>
      <c r="AO131" s="37"/>
      <c r="AP131" s="36"/>
      <c r="AQ131" s="37"/>
      <c r="AR131" s="37"/>
      <c r="AS131" s="37"/>
      <c r="AT131" s="36"/>
      <c r="AU131" s="37"/>
    </row>
    <row r="132" spans="1:47" ht="12.75">
      <c r="A132" s="29">
        <v>44039</v>
      </c>
      <c r="B132" s="30" t="s">
        <v>160</v>
      </c>
      <c r="C132" s="31">
        <v>2.511</v>
      </c>
      <c r="D132" s="32"/>
      <c r="E132" s="33">
        <f t="shared" si="8"/>
        <v>2.511</v>
      </c>
      <c r="F132" s="33">
        <v>0.62</v>
      </c>
      <c r="G132" s="33"/>
      <c r="H132" s="34">
        <f t="shared" si="7"/>
        <v>0.62</v>
      </c>
      <c r="I132" s="35" t="e">
        <f>C132-#REF!</f>
        <v>#REF!</v>
      </c>
      <c r="J132" s="35"/>
      <c r="K132" s="35"/>
      <c r="AD132" s="36">
        <v>5</v>
      </c>
      <c r="AE132">
        <v>2.011</v>
      </c>
      <c r="AJ132" s="36">
        <v>5.5</v>
      </c>
      <c r="AK132" s="37">
        <v>0.5</v>
      </c>
      <c r="AL132" s="37"/>
      <c r="AM132" s="37"/>
      <c r="AN132" s="37"/>
      <c r="AO132" s="37"/>
      <c r="AP132" s="36"/>
      <c r="AQ132" s="37"/>
      <c r="AR132" s="37"/>
      <c r="AS132" s="37"/>
      <c r="AT132" s="36"/>
      <c r="AU132" s="37"/>
    </row>
    <row r="133" spans="1:47" ht="12.75">
      <c r="A133" s="29">
        <v>44042</v>
      </c>
      <c r="B133" s="30" t="s">
        <v>161</v>
      </c>
      <c r="C133" s="31">
        <v>2.324</v>
      </c>
      <c r="D133" s="32"/>
      <c r="E133" s="33">
        <f t="shared" si="8"/>
        <v>2.324</v>
      </c>
      <c r="F133" s="33">
        <v>0.7</v>
      </c>
      <c r="G133" s="33"/>
      <c r="H133" s="34">
        <f t="shared" si="7"/>
        <v>0.7</v>
      </c>
      <c r="I133" s="35" t="e">
        <f>C133-#REF!</f>
        <v>#REF!</v>
      </c>
      <c r="J133" s="35"/>
      <c r="K133" s="35"/>
      <c r="AD133" s="36">
        <v>5</v>
      </c>
      <c r="AE133" s="37">
        <v>2.324</v>
      </c>
      <c r="AL133" s="37"/>
      <c r="AM133" s="37"/>
      <c r="AN133" s="37"/>
      <c r="AO133" s="37"/>
      <c r="AP133" s="36"/>
      <c r="AQ133" s="37"/>
      <c r="AR133" s="37"/>
      <c r="AS133" s="37"/>
      <c r="AT133" s="36"/>
      <c r="AU133" s="37"/>
    </row>
    <row r="134" spans="1:47" ht="12.75">
      <c r="A134" s="29">
        <v>44044</v>
      </c>
      <c r="B134" s="30" t="s">
        <v>162</v>
      </c>
      <c r="C134" s="31">
        <v>2.842</v>
      </c>
      <c r="D134" s="32"/>
      <c r="E134" s="33">
        <f t="shared" si="8"/>
        <v>2.842</v>
      </c>
      <c r="F134" s="33">
        <v>1.48</v>
      </c>
      <c r="G134" s="33"/>
      <c r="H134" s="34">
        <f aca="true" t="shared" si="9" ref="H134:H165">F134+G134</f>
        <v>1.48</v>
      </c>
      <c r="I134" s="35" t="e">
        <f>C134-#REF!</f>
        <v>#REF!</v>
      </c>
      <c r="J134" s="35"/>
      <c r="K134" s="35"/>
      <c r="AL134" s="37"/>
      <c r="AM134" s="37"/>
      <c r="AN134" s="37"/>
      <c r="AO134" s="37"/>
      <c r="AP134" s="36">
        <v>6</v>
      </c>
      <c r="AQ134" s="37">
        <f>2.9-0.058</f>
        <v>2.842</v>
      </c>
      <c r="AR134" s="37"/>
      <c r="AS134" s="37"/>
      <c r="AT134" s="36"/>
      <c r="AU134" s="37"/>
    </row>
    <row r="135" spans="1:47" ht="12.75">
      <c r="A135" s="29">
        <v>44045</v>
      </c>
      <c r="B135" s="30" t="s">
        <v>163</v>
      </c>
      <c r="C135" s="31">
        <v>0.592</v>
      </c>
      <c r="D135" s="72"/>
      <c r="E135" s="33">
        <f t="shared" si="8"/>
        <v>0.592</v>
      </c>
      <c r="F135" s="33">
        <v>0.592</v>
      </c>
      <c r="G135" s="33"/>
      <c r="H135" s="34">
        <f t="shared" si="9"/>
        <v>0.592</v>
      </c>
      <c r="I135" s="35" t="e">
        <f>C135-#REF!</f>
        <v>#REF!</v>
      </c>
      <c r="J135" s="35"/>
      <c r="K135" s="35"/>
      <c r="R135" s="36"/>
      <c r="S135" s="37"/>
      <c r="AJ135">
        <v>5.5</v>
      </c>
      <c r="AK135" s="37">
        <v>0.592</v>
      </c>
      <c r="AL135" s="37"/>
      <c r="AM135" s="37"/>
      <c r="AN135" s="37"/>
      <c r="AO135" s="37"/>
      <c r="AP135" s="36"/>
      <c r="AQ135" s="37"/>
      <c r="AR135" s="37"/>
      <c r="AS135" s="37"/>
      <c r="AT135" s="36"/>
      <c r="AU135" s="37"/>
    </row>
    <row r="136" spans="1:47" ht="12.75">
      <c r="A136" s="29">
        <v>44046</v>
      </c>
      <c r="B136" s="30" t="s">
        <v>164</v>
      </c>
      <c r="C136" s="31">
        <v>1.15</v>
      </c>
      <c r="D136" s="32">
        <v>5.704</v>
      </c>
      <c r="E136" s="33">
        <f t="shared" si="8"/>
        <v>6.853999999999999</v>
      </c>
      <c r="F136" s="33">
        <v>1.1400000000000001</v>
      </c>
      <c r="G136" s="33"/>
      <c r="H136" s="34">
        <f t="shared" si="9"/>
        <v>1.1400000000000001</v>
      </c>
      <c r="I136" s="35" t="e">
        <f>C136-#REF!</f>
        <v>#REF!</v>
      </c>
      <c r="J136" s="35"/>
      <c r="K136" s="35"/>
      <c r="AL136" s="37"/>
      <c r="AM136" s="37"/>
      <c r="AN136" s="37"/>
      <c r="AO136" s="37"/>
      <c r="AP136" s="36">
        <v>6</v>
      </c>
      <c r="AQ136" s="37">
        <v>1.15</v>
      </c>
      <c r="AR136" s="37"/>
      <c r="AS136" s="37"/>
      <c r="AT136" s="36"/>
      <c r="AU136" s="37"/>
    </row>
    <row r="137" spans="1:47" ht="22.5">
      <c r="A137" s="29">
        <v>44047</v>
      </c>
      <c r="B137" s="30" t="s">
        <v>165</v>
      </c>
      <c r="C137" s="31">
        <v>5.2</v>
      </c>
      <c r="D137" s="32">
        <v>1.318</v>
      </c>
      <c r="E137" s="33">
        <f t="shared" si="8"/>
        <v>6.518000000000001</v>
      </c>
      <c r="F137" s="33">
        <v>3.62</v>
      </c>
      <c r="G137" s="33"/>
      <c r="H137" s="34">
        <f t="shared" si="9"/>
        <v>3.62</v>
      </c>
      <c r="I137" s="35" t="e">
        <f>C137-#REF!</f>
        <v>#REF!</v>
      </c>
      <c r="J137" s="35"/>
      <c r="K137" s="35"/>
      <c r="AD137" s="36">
        <v>5</v>
      </c>
      <c r="AE137" s="37">
        <v>4.75</v>
      </c>
      <c r="AJ137" s="36">
        <v>5.5</v>
      </c>
      <c r="AK137" s="37">
        <v>0.45</v>
      </c>
      <c r="AL137" s="37"/>
      <c r="AM137" s="37"/>
      <c r="AN137" s="37"/>
      <c r="AO137" s="37"/>
      <c r="AR137" s="37"/>
      <c r="AS137" s="37"/>
      <c r="AT137" s="36"/>
      <c r="AU137" s="37"/>
    </row>
    <row r="138" spans="1:47" ht="22.5">
      <c r="A138" s="29">
        <v>44048</v>
      </c>
      <c r="B138" s="30" t="s">
        <v>166</v>
      </c>
      <c r="C138" s="31">
        <f>2.76+0.85</f>
        <v>3.61</v>
      </c>
      <c r="D138" s="32">
        <v>2.9</v>
      </c>
      <c r="E138" s="33">
        <f t="shared" si="8"/>
        <v>6.51</v>
      </c>
      <c r="F138" s="33">
        <v>3.2</v>
      </c>
      <c r="G138" s="33"/>
      <c r="H138" s="34">
        <f t="shared" si="9"/>
        <v>3.2</v>
      </c>
      <c r="I138" s="35" t="e">
        <f>C138-#REF!</f>
        <v>#REF!</v>
      </c>
      <c r="J138" s="35"/>
      <c r="K138" s="35"/>
      <c r="AJ138" s="36">
        <v>5.5</v>
      </c>
      <c r="AK138" s="37">
        <v>3.61</v>
      </c>
      <c r="AL138" s="37"/>
      <c r="AM138" s="37"/>
      <c r="AN138" s="37"/>
      <c r="AO138" s="37"/>
      <c r="AP138" s="36"/>
      <c r="AQ138" s="37"/>
      <c r="AR138" s="37"/>
      <c r="AS138" s="37"/>
      <c r="AT138" s="36"/>
      <c r="AU138" s="37"/>
    </row>
    <row r="139" spans="1:47" ht="12.75">
      <c r="A139" s="29">
        <v>44049</v>
      </c>
      <c r="B139" s="30" t="s">
        <v>167</v>
      </c>
      <c r="C139" s="31">
        <v>1</v>
      </c>
      <c r="D139" s="72">
        <v>1.055</v>
      </c>
      <c r="E139" s="33">
        <f t="shared" si="8"/>
        <v>2.0549999999999997</v>
      </c>
      <c r="F139" s="33">
        <v>1</v>
      </c>
      <c r="G139" s="33"/>
      <c r="H139" s="34">
        <f t="shared" si="9"/>
        <v>1</v>
      </c>
      <c r="I139" s="35" t="e">
        <f>C139-#REF!</f>
        <v>#REF!</v>
      </c>
      <c r="J139" s="35"/>
      <c r="K139" s="35"/>
      <c r="N139" s="36">
        <v>3</v>
      </c>
      <c r="O139" s="37">
        <v>1</v>
      </c>
      <c r="AL139" s="37"/>
      <c r="AM139" s="37"/>
      <c r="AN139" s="37"/>
      <c r="AO139" s="37"/>
      <c r="AP139" s="36"/>
      <c r="AQ139" s="37"/>
      <c r="AR139" s="37"/>
      <c r="AS139" s="37"/>
      <c r="AT139" s="36"/>
      <c r="AU139" s="37"/>
    </row>
    <row r="140" spans="1:47" ht="12.75">
      <c r="A140" s="29">
        <v>44050</v>
      </c>
      <c r="B140" s="30" t="s">
        <v>168</v>
      </c>
      <c r="C140" s="31">
        <v>0</v>
      </c>
      <c r="D140" s="32">
        <v>5.552</v>
      </c>
      <c r="E140" s="33">
        <f t="shared" si="8"/>
        <v>5.552</v>
      </c>
      <c r="F140" s="33"/>
      <c r="G140" s="33"/>
      <c r="H140" s="34">
        <f t="shared" si="9"/>
        <v>0</v>
      </c>
      <c r="I140" s="35" t="e">
        <f>C140-#REF!</f>
        <v>#REF!</v>
      </c>
      <c r="J140" s="35"/>
      <c r="K140" s="35"/>
      <c r="AJ140" s="36"/>
      <c r="AK140" s="37"/>
      <c r="AL140" s="37"/>
      <c r="AM140" s="37"/>
      <c r="AN140" s="37"/>
      <c r="AO140" s="37"/>
      <c r="AP140" s="36"/>
      <c r="AQ140" s="37"/>
      <c r="AR140" s="37"/>
      <c r="AS140" s="37"/>
      <c r="AT140" s="36"/>
      <c r="AU140" s="37"/>
    </row>
    <row r="141" spans="1:47" ht="12.75">
      <c r="A141" s="29">
        <v>44051</v>
      </c>
      <c r="B141" s="30" t="s">
        <v>169</v>
      </c>
      <c r="C141" s="31">
        <v>1.9</v>
      </c>
      <c r="D141" s="32">
        <v>8.152</v>
      </c>
      <c r="E141" s="33">
        <f t="shared" si="8"/>
        <v>10.052</v>
      </c>
      <c r="F141" s="33">
        <v>1.9</v>
      </c>
      <c r="G141" s="33"/>
      <c r="H141" s="34">
        <f t="shared" si="9"/>
        <v>1.9</v>
      </c>
      <c r="I141" s="35" t="e">
        <f>C141-#REF!</f>
        <v>#REF!</v>
      </c>
      <c r="J141" s="35"/>
      <c r="K141" s="35"/>
      <c r="N141" s="36">
        <v>3</v>
      </c>
      <c r="O141" s="37">
        <v>1.3</v>
      </c>
      <c r="AD141" s="36">
        <v>5</v>
      </c>
      <c r="AE141" s="37">
        <v>0.6000000000000001</v>
      </c>
      <c r="AL141" s="37"/>
      <c r="AM141" s="37"/>
      <c r="AN141" s="37"/>
      <c r="AO141" s="37"/>
      <c r="AR141" s="37"/>
      <c r="AS141" s="37"/>
      <c r="AT141" s="36"/>
      <c r="AU141" s="37"/>
    </row>
    <row r="142" spans="1:47" ht="12.75">
      <c r="A142" s="29">
        <v>44052</v>
      </c>
      <c r="B142" s="30" t="s">
        <v>170</v>
      </c>
      <c r="C142" s="31">
        <v>1.35</v>
      </c>
      <c r="D142" s="32">
        <v>4.636</v>
      </c>
      <c r="E142" s="33">
        <f t="shared" si="8"/>
        <v>5.986000000000001</v>
      </c>
      <c r="F142" s="33">
        <v>1.17</v>
      </c>
      <c r="G142" s="33"/>
      <c r="H142" s="34">
        <f t="shared" si="9"/>
        <v>1.17</v>
      </c>
      <c r="I142" s="35" t="e">
        <f>C142-#REF!</f>
        <v>#REF!</v>
      </c>
      <c r="J142" s="35"/>
      <c r="K142" s="35"/>
      <c r="T142" s="36">
        <v>4.2</v>
      </c>
      <c r="U142" s="37">
        <v>0.7</v>
      </c>
      <c r="AJ142" s="36">
        <v>5.5</v>
      </c>
      <c r="AK142" s="37">
        <v>0.65</v>
      </c>
      <c r="AL142" s="37"/>
      <c r="AM142" s="37"/>
      <c r="AN142" s="37"/>
      <c r="AO142" s="37"/>
      <c r="AR142" s="37"/>
      <c r="AS142" s="37"/>
      <c r="AT142" s="36"/>
      <c r="AU142" s="37"/>
    </row>
    <row r="143" spans="1:47" ht="12.75">
      <c r="A143" s="29">
        <v>44053</v>
      </c>
      <c r="B143" s="30" t="s">
        <v>171</v>
      </c>
      <c r="C143" s="31">
        <v>3.946</v>
      </c>
      <c r="D143" s="32">
        <f>2.9-1.7-1.2</f>
        <v>0</v>
      </c>
      <c r="E143" s="33">
        <f t="shared" si="8"/>
        <v>3.946</v>
      </c>
      <c r="F143" s="33">
        <v>1.06</v>
      </c>
      <c r="G143" s="33"/>
      <c r="H143" s="34">
        <f t="shared" si="9"/>
        <v>1.06</v>
      </c>
      <c r="I143" s="35" t="e">
        <f>C143-#REF!</f>
        <v>#REF!</v>
      </c>
      <c r="J143" s="35"/>
      <c r="K143" s="35"/>
      <c r="AD143" s="36">
        <v>5</v>
      </c>
      <c r="AE143" s="37">
        <v>1.1</v>
      </c>
      <c r="AJ143" s="36">
        <v>5.5</v>
      </c>
      <c r="AK143" s="37">
        <f>2.9-0.054</f>
        <v>2.846</v>
      </c>
      <c r="AL143" s="37"/>
      <c r="AM143" s="37"/>
      <c r="AN143" s="37"/>
      <c r="AO143" s="37"/>
      <c r="AR143" s="37"/>
      <c r="AS143" s="37"/>
      <c r="AT143" s="36"/>
      <c r="AU143" s="37"/>
    </row>
    <row r="144" spans="1:47" ht="12.75">
      <c r="A144" s="29">
        <v>44054</v>
      </c>
      <c r="B144" s="30" t="s">
        <v>172</v>
      </c>
      <c r="C144" s="31">
        <v>2.448</v>
      </c>
      <c r="D144" s="32"/>
      <c r="E144" s="33">
        <f t="shared" si="8"/>
        <v>2.448</v>
      </c>
      <c r="F144" s="33">
        <v>0.88</v>
      </c>
      <c r="G144" s="33"/>
      <c r="H144" s="34">
        <f t="shared" si="9"/>
        <v>0.88</v>
      </c>
      <c r="I144" s="35" t="e">
        <f>C144-#REF!</f>
        <v>#REF!</v>
      </c>
      <c r="J144" s="35"/>
      <c r="K144" s="35"/>
      <c r="AD144" s="36">
        <v>5</v>
      </c>
      <c r="AE144" s="37">
        <v>2.448</v>
      </c>
      <c r="AL144" s="37"/>
      <c r="AM144" s="37"/>
      <c r="AN144" s="37"/>
      <c r="AO144" s="37"/>
      <c r="AP144" s="36"/>
      <c r="AQ144" s="37"/>
      <c r="AR144" s="37"/>
      <c r="AS144" s="37"/>
      <c r="AT144" s="36"/>
      <c r="AU144" s="37"/>
    </row>
    <row r="145" spans="1:47" ht="12.75">
      <c r="A145" s="29">
        <v>44055</v>
      </c>
      <c r="B145" s="30" t="s">
        <v>173</v>
      </c>
      <c r="C145" s="31">
        <v>7.4</v>
      </c>
      <c r="D145" s="32">
        <v>5.831</v>
      </c>
      <c r="E145" s="33">
        <f t="shared" si="8"/>
        <v>13.231000000000002</v>
      </c>
      <c r="F145" s="33">
        <v>2.31</v>
      </c>
      <c r="G145" s="33">
        <v>0.6000000000000001</v>
      </c>
      <c r="H145" s="34">
        <f t="shared" si="9"/>
        <v>2.91</v>
      </c>
      <c r="I145" s="35" t="e">
        <f>C145-#REF!</f>
        <v>#REF!</v>
      </c>
      <c r="J145" s="35"/>
      <c r="K145" s="35"/>
      <c r="R145" s="36">
        <v>4</v>
      </c>
      <c r="S145" s="37">
        <v>1.5</v>
      </c>
      <c r="AD145" s="36">
        <v>5</v>
      </c>
      <c r="AE145" s="37">
        <v>5.9</v>
      </c>
      <c r="AL145" s="37"/>
      <c r="AM145" s="37"/>
      <c r="AN145" s="37"/>
      <c r="AO145" s="37"/>
      <c r="AR145" s="37"/>
      <c r="AS145" s="37"/>
      <c r="AT145" s="36"/>
      <c r="AU145" s="37"/>
    </row>
    <row r="146" spans="1:47" ht="12.75">
      <c r="A146" s="29">
        <v>44056</v>
      </c>
      <c r="B146" s="30" t="s">
        <v>174</v>
      </c>
      <c r="C146" s="31">
        <v>0</v>
      </c>
      <c r="D146" s="32">
        <v>0.966</v>
      </c>
      <c r="E146" s="33">
        <f t="shared" si="8"/>
        <v>0.966</v>
      </c>
      <c r="F146" s="33"/>
      <c r="G146" s="33">
        <v>0.2</v>
      </c>
      <c r="H146" s="34">
        <f t="shared" si="9"/>
        <v>0.2</v>
      </c>
      <c r="I146" s="35" t="e">
        <f>C146-#REF!</f>
        <v>#REF!</v>
      </c>
      <c r="J146" s="35"/>
      <c r="K146" s="35"/>
      <c r="AJ146" s="36"/>
      <c r="AK146" s="37"/>
      <c r="AL146" s="37"/>
      <c r="AM146" s="37"/>
      <c r="AN146" s="37"/>
      <c r="AO146" s="37"/>
      <c r="AP146" s="36"/>
      <c r="AQ146" s="37"/>
      <c r="AR146" s="37"/>
      <c r="AS146" s="37"/>
      <c r="AT146" s="36"/>
      <c r="AU146" s="37"/>
    </row>
    <row r="147" spans="1:47" ht="12.75">
      <c r="A147" s="29">
        <v>44057</v>
      </c>
      <c r="B147" s="30" t="s">
        <v>175</v>
      </c>
      <c r="C147" s="31">
        <v>4.9</v>
      </c>
      <c r="D147" s="32">
        <v>1.847</v>
      </c>
      <c r="E147" s="33">
        <f t="shared" si="8"/>
        <v>6.747</v>
      </c>
      <c r="F147" s="33">
        <v>0.77</v>
      </c>
      <c r="G147" s="33"/>
      <c r="H147" s="34">
        <f t="shared" si="9"/>
        <v>0.77</v>
      </c>
      <c r="I147" s="35" t="e">
        <f>C147-#REF!</f>
        <v>#REF!</v>
      </c>
      <c r="J147" s="35"/>
      <c r="K147" s="35"/>
      <c r="Z147" s="36">
        <v>4.5</v>
      </c>
      <c r="AA147" s="37">
        <v>0.30000000000000004</v>
      </c>
      <c r="AD147" s="36">
        <v>5</v>
      </c>
      <c r="AE147" s="37">
        <v>4.6</v>
      </c>
      <c r="AL147" s="37"/>
      <c r="AM147" s="37"/>
      <c r="AN147" s="37"/>
      <c r="AO147" s="37"/>
      <c r="AR147" s="37"/>
      <c r="AS147" s="37"/>
      <c r="AT147" s="36"/>
      <c r="AU147" s="37"/>
    </row>
    <row r="148" spans="1:47" ht="14.25" customHeight="1">
      <c r="A148" s="29">
        <v>44064</v>
      </c>
      <c r="B148" s="30" t="s">
        <v>176</v>
      </c>
      <c r="C148" s="31">
        <f>3.278+0.74</f>
        <v>4.018</v>
      </c>
      <c r="D148" s="72">
        <f>2.16-0.74</f>
        <v>1.4200000000000002</v>
      </c>
      <c r="E148" s="33">
        <f t="shared" si="8"/>
        <v>5.438</v>
      </c>
      <c r="F148" s="33"/>
      <c r="G148" s="33"/>
      <c r="H148" s="34">
        <f t="shared" si="9"/>
        <v>0</v>
      </c>
      <c r="I148" s="35" t="e">
        <f>C148-#REF!</f>
        <v>#REF!</v>
      </c>
      <c r="J148" s="39"/>
      <c r="K148" s="73"/>
      <c r="R148" s="36">
        <v>4</v>
      </c>
      <c r="S148" s="37">
        <f>1.82-0.9</f>
        <v>0.92</v>
      </c>
      <c r="AJ148" s="36">
        <v>5.5</v>
      </c>
      <c r="AK148" s="37">
        <f>1.5+0.9+1.32-1.362+0.74</f>
        <v>3.098</v>
      </c>
      <c r="AL148" s="37"/>
      <c r="AM148" s="37"/>
      <c r="AN148" s="37"/>
      <c r="AO148" s="37"/>
      <c r="AR148" s="37"/>
      <c r="AS148" s="37"/>
      <c r="AT148" s="36"/>
      <c r="AU148" s="37"/>
    </row>
    <row r="149" spans="1:47" ht="12.75">
      <c r="A149" s="29">
        <v>44083</v>
      </c>
      <c r="B149" s="30" t="s">
        <v>177</v>
      </c>
      <c r="C149" s="31">
        <v>2.564</v>
      </c>
      <c r="D149" s="32"/>
      <c r="E149" s="33">
        <f t="shared" si="8"/>
        <v>2.564</v>
      </c>
      <c r="F149" s="33">
        <v>0.79</v>
      </c>
      <c r="G149" s="33"/>
      <c r="H149" s="34">
        <f t="shared" si="9"/>
        <v>0.79</v>
      </c>
      <c r="I149" s="35" t="e">
        <f>C149-#REF!</f>
        <v>#REF!</v>
      </c>
      <c r="J149" s="35"/>
      <c r="K149" s="35"/>
      <c r="AJ149" s="36">
        <v>5.5</v>
      </c>
      <c r="AK149" s="37">
        <f>2.8-0.236</f>
        <v>2.5639999999999996</v>
      </c>
      <c r="AL149" s="37"/>
      <c r="AM149" s="37"/>
      <c r="AN149" s="37"/>
      <c r="AO149" s="37"/>
      <c r="AP149" s="36"/>
      <c r="AQ149" s="37"/>
      <c r="AR149" s="37"/>
      <c r="AS149" s="37"/>
      <c r="AT149" s="36"/>
      <c r="AU149" s="37"/>
    </row>
    <row r="150" spans="1:47" ht="12.75">
      <c r="A150" s="29">
        <v>44084</v>
      </c>
      <c r="B150" s="30" t="s">
        <v>178</v>
      </c>
      <c r="C150" s="31">
        <v>0.894</v>
      </c>
      <c r="D150" s="32"/>
      <c r="E150" s="33">
        <f t="shared" si="8"/>
        <v>0.894</v>
      </c>
      <c r="F150" s="33">
        <v>0.894</v>
      </c>
      <c r="G150" s="33"/>
      <c r="H150" s="34">
        <f t="shared" si="9"/>
        <v>0.894</v>
      </c>
      <c r="I150" s="35" t="e">
        <f>C150-#REF!</f>
        <v>#REF!</v>
      </c>
      <c r="J150" s="35"/>
      <c r="K150" s="35"/>
      <c r="AD150" s="36">
        <v>5</v>
      </c>
      <c r="AE150" s="37">
        <v>0.894</v>
      </c>
      <c r="AL150" s="37"/>
      <c r="AM150" s="37"/>
      <c r="AN150" s="37"/>
      <c r="AO150" s="37"/>
      <c r="AP150" s="36"/>
      <c r="AQ150" s="37"/>
      <c r="AR150" s="37"/>
      <c r="AS150" s="37"/>
      <c r="AT150" s="36"/>
      <c r="AU150" s="37"/>
    </row>
    <row r="151" spans="1:47" ht="12.75">
      <c r="A151" s="29">
        <v>44085</v>
      </c>
      <c r="B151" s="30" t="s">
        <v>179</v>
      </c>
      <c r="C151" s="31">
        <v>0</v>
      </c>
      <c r="D151" s="72">
        <v>3.041</v>
      </c>
      <c r="E151" s="33">
        <f t="shared" si="8"/>
        <v>3.041</v>
      </c>
      <c r="F151" s="33"/>
      <c r="G151" s="33"/>
      <c r="H151" s="34">
        <f t="shared" si="9"/>
        <v>0</v>
      </c>
      <c r="I151" s="35" t="e">
        <f>C151-#REF!</f>
        <v>#REF!</v>
      </c>
      <c r="J151" s="35"/>
      <c r="K151" s="35"/>
      <c r="AJ151" s="36"/>
      <c r="AK151" s="37"/>
      <c r="AL151" s="37"/>
      <c r="AM151" s="37"/>
      <c r="AN151" s="37"/>
      <c r="AO151" s="37"/>
      <c r="AP151" s="36"/>
      <c r="AQ151" s="37"/>
      <c r="AR151" s="37"/>
      <c r="AS151" s="37"/>
      <c r="AT151" s="36"/>
      <c r="AU151" s="37"/>
    </row>
    <row r="152" spans="1:47" ht="12.75">
      <c r="A152" s="29">
        <v>44086</v>
      </c>
      <c r="B152" s="30" t="s">
        <v>180</v>
      </c>
      <c r="C152" s="31">
        <v>4.3</v>
      </c>
      <c r="D152" s="74"/>
      <c r="E152" s="33">
        <f t="shared" si="8"/>
        <v>4.3</v>
      </c>
      <c r="F152" s="33"/>
      <c r="G152" s="33"/>
      <c r="H152" s="34">
        <f t="shared" si="9"/>
        <v>0</v>
      </c>
      <c r="I152" s="35" t="e">
        <f>C152-#REF!</f>
        <v>#REF!</v>
      </c>
      <c r="J152" s="35"/>
      <c r="K152" s="35"/>
      <c r="R152" s="36">
        <v>4</v>
      </c>
      <c r="S152" s="37">
        <v>2.61</v>
      </c>
      <c r="AJ152" s="36">
        <v>5.5</v>
      </c>
      <c r="AK152" s="37">
        <v>1.69</v>
      </c>
      <c r="AL152" s="37"/>
      <c r="AM152" s="37"/>
      <c r="AN152" s="37"/>
      <c r="AO152" s="37"/>
      <c r="AR152" s="37"/>
      <c r="AS152" s="37"/>
      <c r="AT152" s="36"/>
      <c r="AU152" s="37"/>
    </row>
    <row r="153" spans="1:47" ht="12.75">
      <c r="A153" s="29">
        <v>44090</v>
      </c>
      <c r="B153" s="30" t="s">
        <v>181</v>
      </c>
      <c r="C153" s="31">
        <v>1.08</v>
      </c>
      <c r="D153" s="32">
        <v>4.22</v>
      </c>
      <c r="E153" s="33">
        <f t="shared" si="8"/>
        <v>5.3</v>
      </c>
      <c r="F153" s="33">
        <v>1.1400000000000001</v>
      </c>
      <c r="G153" s="33"/>
      <c r="H153" s="34">
        <f t="shared" si="9"/>
        <v>1.1400000000000001</v>
      </c>
      <c r="I153" s="35" t="e">
        <f>C153-#REF!</f>
        <v>#REF!</v>
      </c>
      <c r="J153" s="35"/>
      <c r="K153" s="35"/>
      <c r="R153" s="36">
        <v>4</v>
      </c>
      <c r="S153" s="37">
        <v>0.71</v>
      </c>
      <c r="AF153" s="36">
        <v>5.2</v>
      </c>
      <c r="AG153" s="37">
        <v>0.37</v>
      </c>
      <c r="AL153" s="37"/>
      <c r="AM153" s="37"/>
      <c r="AN153" s="37"/>
      <c r="AO153" s="37"/>
      <c r="AR153" s="37"/>
      <c r="AS153" s="37"/>
      <c r="AT153" s="36"/>
      <c r="AU153" s="37"/>
    </row>
    <row r="154" spans="1:47" ht="12.75">
      <c r="A154" s="29">
        <v>44091</v>
      </c>
      <c r="B154" s="30" t="s">
        <v>182</v>
      </c>
      <c r="C154" s="31">
        <v>0.4</v>
      </c>
      <c r="D154" s="72"/>
      <c r="E154" s="33">
        <f t="shared" si="8"/>
        <v>0.4</v>
      </c>
      <c r="F154" s="33">
        <v>0.4</v>
      </c>
      <c r="G154" s="33"/>
      <c r="H154" s="34">
        <f t="shared" si="9"/>
        <v>0.4</v>
      </c>
      <c r="I154" s="35" t="e">
        <f>C154-#REF!</f>
        <v>#REF!</v>
      </c>
      <c r="J154" s="35"/>
      <c r="K154" s="35"/>
      <c r="N154" s="36">
        <v>3</v>
      </c>
      <c r="O154" s="37">
        <v>0.4</v>
      </c>
      <c r="AL154" s="37"/>
      <c r="AM154" s="37"/>
      <c r="AN154" s="37"/>
      <c r="AO154" s="37"/>
      <c r="AP154" s="36"/>
      <c r="AQ154" s="37"/>
      <c r="AR154" s="37"/>
      <c r="AS154" s="37"/>
      <c r="AT154" s="36"/>
      <c r="AU154" s="37"/>
    </row>
    <row r="155" spans="1:47" ht="24.75">
      <c r="A155" s="29">
        <v>44092</v>
      </c>
      <c r="B155" s="30" t="s">
        <v>183</v>
      </c>
      <c r="C155" s="31">
        <v>0.9550000000000001</v>
      </c>
      <c r="D155" s="32"/>
      <c r="E155" s="33">
        <f t="shared" si="8"/>
        <v>0.9550000000000001</v>
      </c>
      <c r="F155" s="33">
        <v>0.9550000000000001</v>
      </c>
      <c r="G155" s="33"/>
      <c r="H155" s="34">
        <f t="shared" si="9"/>
        <v>0.9550000000000001</v>
      </c>
      <c r="I155" s="35" t="e">
        <f>C155-#REF!</f>
        <v>#REF!</v>
      </c>
      <c r="J155" s="35"/>
      <c r="K155" s="35"/>
      <c r="AL155" s="37"/>
      <c r="AM155" s="37"/>
      <c r="AN155" s="37"/>
      <c r="AO155" s="37"/>
      <c r="AP155" s="36">
        <v>6</v>
      </c>
      <c r="AQ155" s="37">
        <v>0.55</v>
      </c>
      <c r="AR155" s="37"/>
      <c r="AS155" s="37"/>
      <c r="AT155" s="36"/>
      <c r="AU155" s="37"/>
    </row>
    <row r="156" spans="1:47" ht="24.75">
      <c r="A156" s="29">
        <v>44093</v>
      </c>
      <c r="B156" s="30" t="s">
        <v>184</v>
      </c>
      <c r="C156" s="31">
        <f>13.68+0.92</f>
        <v>14.6</v>
      </c>
      <c r="D156" s="32">
        <v>2.593</v>
      </c>
      <c r="E156" s="33">
        <f t="shared" si="8"/>
        <v>17.192999999999998</v>
      </c>
      <c r="F156" s="33">
        <v>4</v>
      </c>
      <c r="G156" s="33">
        <v>1.35</v>
      </c>
      <c r="H156" s="34">
        <f t="shared" si="9"/>
        <v>5.35</v>
      </c>
      <c r="I156" s="35" t="e">
        <f>C156-#REF!</f>
        <v>#REF!</v>
      </c>
      <c r="J156" s="35"/>
      <c r="K156" s="35"/>
      <c r="AL156" s="37"/>
      <c r="AM156" s="37"/>
      <c r="AN156" s="37"/>
      <c r="AO156" s="37"/>
      <c r="AP156" s="36">
        <v>6</v>
      </c>
      <c r="AQ156" s="37">
        <v>14.6</v>
      </c>
      <c r="AR156" s="37"/>
      <c r="AS156" s="37"/>
      <c r="AT156" s="36"/>
      <c r="AU156" s="37"/>
    </row>
    <row r="157" spans="1:47" ht="12.75">
      <c r="A157" s="29">
        <v>44094</v>
      </c>
      <c r="B157" s="30" t="s">
        <v>185</v>
      </c>
      <c r="C157" s="31">
        <v>4.977</v>
      </c>
      <c r="D157" s="32"/>
      <c r="E157" s="33">
        <f t="shared" si="8"/>
        <v>4.977</v>
      </c>
      <c r="F157" s="33">
        <v>1.63</v>
      </c>
      <c r="G157" s="33"/>
      <c r="H157" s="34">
        <f t="shared" si="9"/>
        <v>1.63</v>
      </c>
      <c r="I157" s="35" t="e">
        <f>C157-#REF!</f>
        <v>#REF!</v>
      </c>
      <c r="J157" s="35"/>
      <c r="K157" s="35"/>
      <c r="P157" s="36">
        <v>3.5</v>
      </c>
      <c r="Q157" s="37">
        <f>1.88+1.177</f>
        <v>3.057</v>
      </c>
      <c r="AJ157" s="36">
        <v>5.5</v>
      </c>
      <c r="AK157" s="37">
        <f>1.92</f>
        <v>1.92</v>
      </c>
      <c r="AL157" s="37"/>
      <c r="AM157" s="37"/>
      <c r="AN157" s="37"/>
      <c r="AO157" s="37"/>
      <c r="AR157" s="37"/>
      <c r="AS157" s="37"/>
      <c r="AT157" s="36"/>
      <c r="AU157" s="37"/>
    </row>
    <row r="158" spans="1:47" ht="22.5">
      <c r="A158" s="29">
        <v>44095</v>
      </c>
      <c r="B158" s="30" t="s">
        <v>187</v>
      </c>
      <c r="C158" s="31">
        <v>0.1</v>
      </c>
      <c r="D158" s="32">
        <v>4.857</v>
      </c>
      <c r="E158" s="33">
        <f t="shared" si="8"/>
        <v>4.957</v>
      </c>
      <c r="F158" s="33"/>
      <c r="G158" s="33"/>
      <c r="H158" s="34">
        <f t="shared" si="9"/>
        <v>0</v>
      </c>
      <c r="I158" s="35" t="e">
        <f>C158-#REF!</f>
        <v>#REF!</v>
      </c>
      <c r="J158" s="35"/>
      <c r="K158" s="35"/>
      <c r="N158" s="36">
        <v>3</v>
      </c>
      <c r="O158" s="37">
        <v>0.1</v>
      </c>
      <c r="AL158" s="37"/>
      <c r="AM158" s="37"/>
      <c r="AN158" s="37"/>
      <c r="AO158" s="37"/>
      <c r="AP158" s="36"/>
      <c r="AQ158" s="37"/>
      <c r="AR158" s="37"/>
      <c r="AS158" s="37"/>
      <c r="AT158" s="36"/>
      <c r="AU158" s="37"/>
    </row>
    <row r="159" spans="1:47" ht="12.75">
      <c r="A159" s="29">
        <v>44097</v>
      </c>
      <c r="B159" s="30" t="s">
        <v>188</v>
      </c>
      <c r="C159" s="31">
        <v>1.037</v>
      </c>
      <c r="D159" s="32"/>
      <c r="E159" s="33">
        <f t="shared" si="8"/>
        <v>1.037</v>
      </c>
      <c r="F159" s="33">
        <v>0.2</v>
      </c>
      <c r="G159" s="33"/>
      <c r="H159" s="34">
        <f t="shared" si="9"/>
        <v>0.2</v>
      </c>
      <c r="I159" s="35" t="e">
        <f>C159-#REF!</f>
        <v>#REF!</v>
      </c>
      <c r="J159" s="35"/>
      <c r="K159" s="35"/>
      <c r="N159" s="36">
        <v>3</v>
      </c>
      <c r="O159" s="37">
        <f>1.1-0.063</f>
        <v>1.0370000000000001</v>
      </c>
      <c r="AL159" s="37"/>
      <c r="AM159" s="37"/>
      <c r="AN159" s="37"/>
      <c r="AO159" s="37"/>
      <c r="AP159" s="36"/>
      <c r="AQ159" s="37"/>
      <c r="AR159" s="37"/>
      <c r="AS159" s="37"/>
      <c r="AT159" s="36"/>
      <c r="AU159" s="37"/>
    </row>
    <row r="160" spans="1:47" ht="12.75">
      <c r="A160" s="29">
        <v>44098</v>
      </c>
      <c r="B160" s="30" t="s">
        <v>189</v>
      </c>
      <c r="C160" s="31">
        <v>3.359</v>
      </c>
      <c r="D160" s="32"/>
      <c r="E160" s="33">
        <f t="shared" si="8"/>
        <v>3.359</v>
      </c>
      <c r="F160" s="33">
        <v>0.52</v>
      </c>
      <c r="G160" s="33"/>
      <c r="H160" s="34">
        <f t="shared" si="9"/>
        <v>0.52</v>
      </c>
      <c r="I160" s="35" t="e">
        <f>C160-#REF!</f>
        <v>#REF!</v>
      </c>
      <c r="J160" s="35"/>
      <c r="K160" s="35"/>
      <c r="AD160" s="36">
        <v>5</v>
      </c>
      <c r="AE160" s="37">
        <f>3.4-0.041</f>
        <v>3.359</v>
      </c>
      <c r="AL160" s="37"/>
      <c r="AM160" s="37"/>
      <c r="AN160" s="37"/>
      <c r="AO160" s="37"/>
      <c r="AP160" s="36"/>
      <c r="AQ160" s="37"/>
      <c r="AR160" s="37"/>
      <c r="AS160" s="37"/>
      <c r="AT160" s="36"/>
      <c r="AU160" s="37"/>
    </row>
    <row r="161" spans="1:45" ht="24.75">
      <c r="A161" s="29">
        <v>44099</v>
      </c>
      <c r="B161" s="30" t="s">
        <v>190</v>
      </c>
      <c r="C161" s="31">
        <f>8.975+1.7+0.68+0.94+1.17+1.73+0.92</f>
        <v>16.115000000000002</v>
      </c>
      <c r="D161" s="32">
        <f>8.458-0.92</f>
        <v>7.538</v>
      </c>
      <c r="E161" s="33">
        <f t="shared" si="8"/>
        <v>23.653000000000002</v>
      </c>
      <c r="F161" s="33">
        <v>5.56</v>
      </c>
      <c r="G161" s="33">
        <v>1.9500000000000002</v>
      </c>
      <c r="H161" s="34">
        <f t="shared" si="9"/>
        <v>7.51</v>
      </c>
      <c r="I161" s="35" t="e">
        <f>C161-#REF!</f>
        <v>#REF!</v>
      </c>
      <c r="J161" s="39"/>
      <c r="K161" s="39"/>
      <c r="P161" s="36">
        <v>3.5</v>
      </c>
      <c r="Q161" s="37">
        <v>2.665</v>
      </c>
      <c r="AD161" s="36">
        <v>5</v>
      </c>
      <c r="AE161" s="37">
        <v>1.69</v>
      </c>
      <c r="AJ161" s="36">
        <v>5.5</v>
      </c>
      <c r="AK161" s="37">
        <f>4.33+1.17+1.73+0.92</f>
        <v>8.15</v>
      </c>
      <c r="AL161" s="37"/>
      <c r="AM161" s="37"/>
      <c r="AN161" s="37"/>
      <c r="AO161" s="37"/>
      <c r="AP161" s="36">
        <v>6</v>
      </c>
      <c r="AQ161" s="37">
        <v>3.61</v>
      </c>
      <c r="AR161" s="37"/>
      <c r="AS161" s="37"/>
    </row>
    <row r="162" spans="1:47" ht="12.75">
      <c r="A162" s="29">
        <v>44100</v>
      </c>
      <c r="B162" s="30" t="s">
        <v>191</v>
      </c>
      <c r="C162" s="31">
        <v>2.112</v>
      </c>
      <c r="D162" s="32"/>
      <c r="E162" s="33">
        <f t="shared" si="8"/>
        <v>2.112</v>
      </c>
      <c r="F162" s="33">
        <v>0.8</v>
      </c>
      <c r="G162" s="33"/>
      <c r="H162" s="34">
        <f t="shared" si="9"/>
        <v>0.8</v>
      </c>
      <c r="I162" s="35" t="e">
        <f>C162-#REF!</f>
        <v>#REF!</v>
      </c>
      <c r="J162" s="35"/>
      <c r="K162" s="35"/>
      <c r="AD162" s="36">
        <v>5</v>
      </c>
      <c r="AE162" s="37">
        <v>2.112</v>
      </c>
      <c r="AL162" s="37"/>
      <c r="AM162" s="37"/>
      <c r="AN162" s="37"/>
      <c r="AO162" s="37"/>
      <c r="AP162" s="36"/>
      <c r="AQ162" s="37"/>
      <c r="AR162" s="37"/>
      <c r="AS162" s="37"/>
      <c r="AT162" s="36"/>
      <c r="AU162" s="37"/>
    </row>
    <row r="163" spans="1:47" ht="24.75">
      <c r="A163" s="29">
        <v>44101</v>
      </c>
      <c r="B163" s="30" t="s">
        <v>192</v>
      </c>
      <c r="C163" s="31">
        <v>4.964</v>
      </c>
      <c r="D163" s="32"/>
      <c r="E163" s="33">
        <f aca="true" t="shared" si="10" ref="E163:E194">C163+D163</f>
        <v>4.964</v>
      </c>
      <c r="F163" s="33">
        <v>1.26</v>
      </c>
      <c r="G163" s="33"/>
      <c r="H163" s="34">
        <f t="shared" si="9"/>
        <v>1.26</v>
      </c>
      <c r="I163" s="35" t="e">
        <f>C163-#REF!</f>
        <v>#REF!</v>
      </c>
      <c r="J163" s="35"/>
      <c r="K163" s="35"/>
      <c r="AD163" s="36">
        <v>5</v>
      </c>
      <c r="AE163" s="37">
        <v>1.295</v>
      </c>
      <c r="AJ163" s="36">
        <v>5.5</v>
      </c>
      <c r="AK163" s="37">
        <f>3.705-0.036</f>
        <v>3.669</v>
      </c>
      <c r="AL163" s="37"/>
      <c r="AM163" s="37"/>
      <c r="AN163" s="37"/>
      <c r="AO163" s="37"/>
      <c r="AR163" s="37"/>
      <c r="AS163" s="37"/>
      <c r="AT163" s="36"/>
      <c r="AU163" s="37"/>
    </row>
    <row r="164" spans="1:47" ht="24.75">
      <c r="A164" s="29">
        <v>44102</v>
      </c>
      <c r="B164" s="30" t="s">
        <v>193</v>
      </c>
      <c r="C164" s="31">
        <v>2.04</v>
      </c>
      <c r="D164" s="32">
        <v>3.852</v>
      </c>
      <c r="E164" s="33">
        <f t="shared" si="10"/>
        <v>5.8919999999999995</v>
      </c>
      <c r="F164" s="33">
        <v>1.98</v>
      </c>
      <c r="G164" s="33"/>
      <c r="H164" s="34">
        <f t="shared" si="9"/>
        <v>1.98</v>
      </c>
      <c r="I164" s="35" t="e">
        <f>C164-#REF!</f>
        <v>#REF!</v>
      </c>
      <c r="J164" s="35"/>
      <c r="K164" s="35"/>
      <c r="AD164" s="36">
        <v>5</v>
      </c>
      <c r="AE164" s="37">
        <v>1.54</v>
      </c>
      <c r="AJ164" s="36">
        <v>5.5</v>
      </c>
      <c r="AK164" s="37">
        <v>0.5</v>
      </c>
      <c r="AL164" s="37"/>
      <c r="AM164" s="37"/>
      <c r="AN164" s="37"/>
      <c r="AO164" s="37"/>
      <c r="AR164" s="37"/>
      <c r="AS164" s="37"/>
      <c r="AT164" s="36"/>
      <c r="AU164" s="37"/>
    </row>
    <row r="165" spans="1:47" ht="12.75">
      <c r="A165" s="29">
        <v>44103</v>
      </c>
      <c r="B165" s="30" t="s">
        <v>194</v>
      </c>
      <c r="C165" s="31">
        <v>1.645</v>
      </c>
      <c r="D165" s="32">
        <v>4.079</v>
      </c>
      <c r="E165" s="33">
        <f t="shared" si="10"/>
        <v>5.724</v>
      </c>
      <c r="F165" s="33">
        <v>1.72</v>
      </c>
      <c r="G165" s="33"/>
      <c r="H165" s="34">
        <f t="shared" si="9"/>
        <v>1.72</v>
      </c>
      <c r="I165" s="35" t="e">
        <f>C165-#REF!</f>
        <v>#REF!</v>
      </c>
      <c r="J165" s="35"/>
      <c r="K165" s="35"/>
      <c r="Z165" s="36">
        <v>4.5</v>
      </c>
      <c r="AA165" s="37">
        <v>0.32</v>
      </c>
      <c r="AD165" s="36">
        <v>5</v>
      </c>
      <c r="AE165" s="37">
        <v>1.325</v>
      </c>
      <c r="AL165" s="37"/>
      <c r="AM165" s="37"/>
      <c r="AN165" s="37"/>
      <c r="AO165" s="37"/>
      <c r="AR165" s="37"/>
      <c r="AS165" s="37"/>
      <c r="AT165" s="36"/>
      <c r="AU165" s="37"/>
    </row>
    <row r="166" spans="1:47" ht="12.75">
      <c r="A166" s="29">
        <v>44104</v>
      </c>
      <c r="B166" s="30" t="s">
        <v>195</v>
      </c>
      <c r="C166" s="31">
        <v>0.37</v>
      </c>
      <c r="D166" s="32">
        <v>3.235</v>
      </c>
      <c r="E166" s="33">
        <f t="shared" si="10"/>
        <v>3.605</v>
      </c>
      <c r="F166" s="33">
        <v>0.4</v>
      </c>
      <c r="G166" s="33"/>
      <c r="H166" s="34">
        <f aca="true" t="shared" si="11" ref="H166:H196">F166+G166</f>
        <v>0.4</v>
      </c>
      <c r="I166" s="35" t="e">
        <f>C166-#REF!</f>
        <v>#REF!</v>
      </c>
      <c r="J166" s="35"/>
      <c r="K166" s="35"/>
      <c r="Z166" s="36">
        <v>4.5</v>
      </c>
      <c r="AA166" s="37">
        <v>0.37</v>
      </c>
      <c r="AL166" s="37"/>
      <c r="AM166" s="37"/>
      <c r="AN166" s="37"/>
      <c r="AO166" s="37"/>
      <c r="AP166" s="36"/>
      <c r="AQ166" s="37"/>
      <c r="AR166" s="37"/>
      <c r="AS166" s="37"/>
      <c r="AT166" s="36"/>
      <c r="AU166" s="37"/>
    </row>
    <row r="167" spans="1:47" ht="12.75">
      <c r="A167" s="29">
        <v>44105</v>
      </c>
      <c r="B167" s="30" t="s">
        <v>196</v>
      </c>
      <c r="C167" s="31">
        <v>6.255</v>
      </c>
      <c r="D167" s="32"/>
      <c r="E167" s="33">
        <f t="shared" si="10"/>
        <v>6.255</v>
      </c>
      <c r="F167" s="33">
        <v>1.09</v>
      </c>
      <c r="G167" s="33"/>
      <c r="H167" s="34">
        <f t="shared" si="11"/>
        <v>1.09</v>
      </c>
      <c r="I167" s="35" t="e">
        <f>C167-#REF!</f>
        <v>#REF!</v>
      </c>
      <c r="J167" s="35"/>
      <c r="K167" s="35"/>
      <c r="AD167" s="36">
        <v>5</v>
      </c>
      <c r="AE167" s="37">
        <f>5.55+0.055</f>
        <v>5.6049999999999995</v>
      </c>
      <c r="AJ167" s="36">
        <v>5.5</v>
      </c>
      <c r="AK167" s="37">
        <v>0.65</v>
      </c>
      <c r="AL167" s="37"/>
      <c r="AM167" s="37"/>
      <c r="AN167" s="37"/>
      <c r="AO167" s="37"/>
      <c r="AR167" s="37"/>
      <c r="AS167" s="37"/>
      <c r="AT167" s="36"/>
      <c r="AU167" s="37"/>
    </row>
    <row r="168" spans="1:47" ht="12.75">
      <c r="A168" s="29">
        <v>44106</v>
      </c>
      <c r="B168" s="30" t="s">
        <v>197</v>
      </c>
      <c r="C168" s="31">
        <v>3.652</v>
      </c>
      <c r="D168" s="32"/>
      <c r="E168" s="33">
        <f t="shared" si="10"/>
        <v>3.652</v>
      </c>
      <c r="F168" s="33">
        <v>0.76</v>
      </c>
      <c r="G168" s="33"/>
      <c r="H168" s="34">
        <f t="shared" si="11"/>
        <v>0.76</v>
      </c>
      <c r="I168" s="35" t="e">
        <f>C168-#REF!</f>
        <v>#REF!</v>
      </c>
      <c r="J168" s="35"/>
      <c r="K168" s="35"/>
      <c r="AJ168" s="36">
        <v>5.5</v>
      </c>
      <c r="AK168" s="37">
        <f>4.2-0.548</f>
        <v>3.652</v>
      </c>
      <c r="AL168" s="37"/>
      <c r="AM168" s="37"/>
      <c r="AN168" s="37"/>
      <c r="AO168" s="37"/>
      <c r="AP168" s="36"/>
      <c r="AQ168" s="37"/>
      <c r="AR168" s="37"/>
      <c r="AS168" s="37"/>
      <c r="AT168" s="36"/>
      <c r="AU168" s="37"/>
    </row>
    <row r="169" spans="1:45" ht="12.75">
      <c r="A169" s="29">
        <v>44107</v>
      </c>
      <c r="B169" s="30" t="s">
        <v>198</v>
      </c>
      <c r="C169" s="31">
        <v>4.37</v>
      </c>
      <c r="D169" s="32">
        <v>1.8250000000000002</v>
      </c>
      <c r="E169" s="33">
        <f t="shared" si="10"/>
        <v>6.195</v>
      </c>
      <c r="F169" s="33">
        <v>1.06</v>
      </c>
      <c r="G169" s="33"/>
      <c r="H169" s="34">
        <f t="shared" si="11"/>
        <v>1.06</v>
      </c>
      <c r="I169" s="35" t="e">
        <f>C169-#REF!</f>
        <v>#REF!</v>
      </c>
      <c r="J169" s="39"/>
      <c r="K169" s="39"/>
      <c r="P169" s="36">
        <v>3.5</v>
      </c>
      <c r="Q169" s="37">
        <v>0.30000000000000004</v>
      </c>
      <c r="Z169" s="36">
        <v>4.5</v>
      </c>
      <c r="AA169" s="37">
        <v>0.8</v>
      </c>
      <c r="AD169" s="36">
        <v>5</v>
      </c>
      <c r="AE169" s="37">
        <v>0.72</v>
      </c>
      <c r="AJ169" s="36">
        <v>5.5</v>
      </c>
      <c r="AK169" s="37">
        <v>2.55</v>
      </c>
      <c r="AL169" s="37"/>
      <c r="AM169" s="37"/>
      <c r="AN169" s="37"/>
      <c r="AO169" s="37"/>
      <c r="AR169" s="37"/>
      <c r="AS169" s="37"/>
    </row>
    <row r="170" spans="1:47" ht="12.75">
      <c r="A170" s="29">
        <v>44108</v>
      </c>
      <c r="B170" s="30" t="s">
        <v>199</v>
      </c>
      <c r="C170" s="31">
        <f>2.26+0.08</f>
        <v>2.34</v>
      </c>
      <c r="D170" s="32">
        <v>5.768</v>
      </c>
      <c r="E170" s="33">
        <f t="shared" si="10"/>
        <v>8.108</v>
      </c>
      <c r="F170" s="33">
        <v>2.23</v>
      </c>
      <c r="G170" s="33"/>
      <c r="H170" s="34">
        <f t="shared" si="11"/>
        <v>2.23</v>
      </c>
      <c r="I170" s="35" t="e">
        <f>C170-#REF!</f>
        <v>#REF!</v>
      </c>
      <c r="J170" s="39"/>
      <c r="K170" s="39"/>
      <c r="R170" s="36">
        <v>4</v>
      </c>
      <c r="S170" s="37">
        <v>0</v>
      </c>
      <c r="AD170" s="36">
        <v>5</v>
      </c>
      <c r="AE170" s="37">
        <v>1.2</v>
      </c>
      <c r="AJ170">
        <v>5.5</v>
      </c>
      <c r="AK170">
        <v>1.1400000000000001</v>
      </c>
      <c r="AL170" s="37"/>
      <c r="AM170" s="37"/>
      <c r="AN170" s="37"/>
      <c r="AO170" s="37"/>
      <c r="AR170" s="37"/>
      <c r="AS170" s="37"/>
      <c r="AT170" s="36"/>
      <c r="AU170" s="37"/>
    </row>
    <row r="171" spans="1:47" ht="12.75">
      <c r="A171" s="29">
        <v>44109</v>
      </c>
      <c r="B171" s="30" t="s">
        <v>200</v>
      </c>
      <c r="C171" s="31">
        <v>5.785</v>
      </c>
      <c r="D171" s="32"/>
      <c r="E171" s="33">
        <f t="shared" si="10"/>
        <v>5.785</v>
      </c>
      <c r="F171" s="33">
        <v>2.48</v>
      </c>
      <c r="G171" s="33"/>
      <c r="H171" s="34">
        <f t="shared" si="11"/>
        <v>2.48</v>
      </c>
      <c r="I171" s="35" t="e">
        <f>C171-#REF!</f>
        <v>#REF!</v>
      </c>
      <c r="J171" s="35"/>
      <c r="K171" s="35"/>
      <c r="AF171" s="36">
        <v>5.2</v>
      </c>
      <c r="AG171" s="37">
        <v>1.5</v>
      </c>
      <c r="AJ171" s="36">
        <v>5.5</v>
      </c>
      <c r="AK171" s="37">
        <f>4.4-0.115</f>
        <v>4.285</v>
      </c>
      <c r="AL171" s="37"/>
      <c r="AM171" s="37"/>
      <c r="AN171" s="37"/>
      <c r="AO171" s="37"/>
      <c r="AR171" s="37"/>
      <c r="AS171" s="37"/>
      <c r="AT171" s="36"/>
      <c r="AU171" s="37"/>
    </row>
    <row r="172" spans="1:47" ht="12.75">
      <c r="A172" s="29">
        <v>44110</v>
      </c>
      <c r="B172" s="30" t="s">
        <v>201</v>
      </c>
      <c r="C172" s="31">
        <v>4.968</v>
      </c>
      <c r="D172" s="32"/>
      <c r="E172" s="33">
        <f t="shared" si="10"/>
        <v>4.968</v>
      </c>
      <c r="F172" s="33">
        <v>0.85</v>
      </c>
      <c r="G172" s="33"/>
      <c r="H172" s="34">
        <f t="shared" si="11"/>
        <v>0.85</v>
      </c>
      <c r="I172" s="35" t="e">
        <f>C172-#REF!</f>
        <v>#REF!</v>
      </c>
      <c r="J172" s="35"/>
      <c r="K172" s="35"/>
      <c r="AJ172" s="36">
        <v>5.5</v>
      </c>
      <c r="AK172" s="37">
        <f>5-0.032</f>
        <v>4.968</v>
      </c>
      <c r="AL172" s="37"/>
      <c r="AM172" s="37"/>
      <c r="AN172" s="37"/>
      <c r="AO172" s="37"/>
      <c r="AP172" s="36"/>
      <c r="AQ172" s="37"/>
      <c r="AR172" s="37"/>
      <c r="AS172" s="37"/>
      <c r="AT172" s="36"/>
      <c r="AU172" s="37"/>
    </row>
    <row r="173" spans="1:47" ht="24.75">
      <c r="A173" s="29">
        <v>44111</v>
      </c>
      <c r="B173" s="30" t="s">
        <v>202</v>
      </c>
      <c r="C173" s="31">
        <v>5.25</v>
      </c>
      <c r="D173" s="72">
        <v>5.209</v>
      </c>
      <c r="E173" s="33">
        <f t="shared" si="10"/>
        <v>10.459</v>
      </c>
      <c r="F173" s="33">
        <v>1.6800000000000002</v>
      </c>
      <c r="G173" s="33"/>
      <c r="H173" s="34">
        <f t="shared" si="11"/>
        <v>1.6800000000000002</v>
      </c>
      <c r="I173" s="35" t="e">
        <f>C173-#REF!</f>
        <v>#REF!</v>
      </c>
      <c r="J173" s="39"/>
      <c r="K173" s="39"/>
      <c r="L173" s="36">
        <v>2.5</v>
      </c>
      <c r="M173" s="37">
        <v>3.85</v>
      </c>
      <c r="AD173" s="36">
        <v>5</v>
      </c>
      <c r="AE173" s="37">
        <v>0.65</v>
      </c>
      <c r="AJ173">
        <v>5.5</v>
      </c>
      <c r="AK173">
        <v>0.75</v>
      </c>
      <c r="AL173" s="37"/>
      <c r="AM173" s="37"/>
      <c r="AN173" s="37"/>
      <c r="AO173" s="37"/>
      <c r="AR173" s="37"/>
      <c r="AS173" s="37"/>
      <c r="AT173" s="36"/>
      <c r="AU173" s="37"/>
    </row>
    <row r="174" spans="1:47" ht="12.75">
      <c r="A174" s="29">
        <v>44112</v>
      </c>
      <c r="B174" s="30" t="s">
        <v>204</v>
      </c>
      <c r="C174" s="31">
        <v>0</v>
      </c>
      <c r="D174" s="72">
        <v>3.068</v>
      </c>
      <c r="E174" s="33">
        <f t="shared" si="10"/>
        <v>3.068</v>
      </c>
      <c r="F174" s="33"/>
      <c r="G174" s="33">
        <v>0.12</v>
      </c>
      <c r="H174" s="34">
        <f t="shared" si="11"/>
        <v>0.12</v>
      </c>
      <c r="I174" s="35" t="e">
        <f>C174-#REF!</f>
        <v>#REF!</v>
      </c>
      <c r="J174" s="35"/>
      <c r="K174" s="35"/>
      <c r="AJ174" s="36"/>
      <c r="AK174" s="37"/>
      <c r="AL174" s="37"/>
      <c r="AM174" s="37"/>
      <c r="AN174" s="37"/>
      <c r="AO174" s="37"/>
      <c r="AP174" s="36"/>
      <c r="AQ174" s="37"/>
      <c r="AR174" s="37"/>
      <c r="AS174" s="37"/>
      <c r="AT174" s="36"/>
      <c r="AU174" s="37"/>
    </row>
    <row r="175" spans="1:47" ht="12.75">
      <c r="A175" s="29">
        <v>44114</v>
      </c>
      <c r="B175" s="30" t="s">
        <v>205</v>
      </c>
      <c r="C175" s="31">
        <v>0.91</v>
      </c>
      <c r="D175" s="32"/>
      <c r="E175" s="33">
        <f t="shared" si="10"/>
        <v>0.91</v>
      </c>
      <c r="F175" s="33"/>
      <c r="G175" s="33"/>
      <c r="H175" s="34">
        <f t="shared" si="11"/>
        <v>0</v>
      </c>
      <c r="I175" s="35" t="e">
        <f>C175-#REF!</f>
        <v>#REF!</v>
      </c>
      <c r="J175" s="35"/>
      <c r="K175" s="35"/>
      <c r="AJ175" s="36">
        <v>5.5</v>
      </c>
      <c r="AK175" s="37">
        <v>0.91</v>
      </c>
      <c r="AL175" s="37"/>
      <c r="AM175" s="37"/>
      <c r="AN175" s="37"/>
      <c r="AO175" s="37"/>
      <c r="AP175" s="36"/>
      <c r="AQ175" s="37"/>
      <c r="AR175" s="37"/>
      <c r="AS175" s="37"/>
      <c r="AT175" s="36"/>
      <c r="AU175" s="37"/>
    </row>
    <row r="176" spans="1:45" ht="12.75">
      <c r="A176" s="29">
        <v>44115</v>
      </c>
      <c r="B176" s="30" t="s">
        <v>206</v>
      </c>
      <c r="C176" s="31">
        <v>4.2</v>
      </c>
      <c r="D176" s="32">
        <v>4.817</v>
      </c>
      <c r="E176" s="33">
        <f t="shared" si="10"/>
        <v>9.017</v>
      </c>
      <c r="F176" s="33"/>
      <c r="G176" s="33"/>
      <c r="H176" s="34">
        <f t="shared" si="11"/>
        <v>0</v>
      </c>
      <c r="I176" s="35" t="e">
        <f>C176-#REF!</f>
        <v>#REF!</v>
      </c>
      <c r="J176" s="35"/>
      <c r="K176" s="35"/>
      <c r="P176" s="36">
        <v>3.5</v>
      </c>
      <c r="Q176" s="37">
        <v>0.29</v>
      </c>
      <c r="Z176" s="36">
        <v>4.5</v>
      </c>
      <c r="AA176" s="37">
        <v>0.5</v>
      </c>
      <c r="AD176" s="36">
        <v>5</v>
      </c>
      <c r="AE176" s="37">
        <v>3.41</v>
      </c>
      <c r="AL176" s="37"/>
      <c r="AM176" s="37"/>
      <c r="AN176" s="37"/>
      <c r="AO176" s="37"/>
      <c r="AR176" s="37"/>
      <c r="AS176" s="37"/>
    </row>
    <row r="177" spans="1:47" ht="22.5">
      <c r="A177" s="29">
        <v>44116</v>
      </c>
      <c r="B177" s="30" t="s">
        <v>207</v>
      </c>
      <c r="C177" s="31">
        <v>6.416</v>
      </c>
      <c r="D177" s="32"/>
      <c r="E177" s="33">
        <f t="shared" si="10"/>
        <v>6.416</v>
      </c>
      <c r="F177" s="33"/>
      <c r="G177" s="33"/>
      <c r="H177" s="34">
        <f t="shared" si="11"/>
        <v>0</v>
      </c>
      <c r="I177" s="35" t="e">
        <f>C177-#REF!</f>
        <v>#REF!</v>
      </c>
      <c r="J177" s="35"/>
      <c r="K177" s="35"/>
      <c r="L177" s="36">
        <v>2.5</v>
      </c>
      <c r="M177" s="37">
        <v>1.57</v>
      </c>
      <c r="AD177" s="36">
        <v>5</v>
      </c>
      <c r="AE177" s="37">
        <f>5.33-0.484</f>
        <v>4.846</v>
      </c>
      <c r="AL177" s="37"/>
      <c r="AM177" s="37"/>
      <c r="AN177" s="37"/>
      <c r="AO177" s="37"/>
      <c r="AR177" s="37"/>
      <c r="AS177" s="37"/>
      <c r="AT177" s="36"/>
      <c r="AU177" s="37"/>
    </row>
    <row r="178" spans="1:47" ht="12.75">
      <c r="A178" s="29">
        <v>44117</v>
      </c>
      <c r="B178" s="30" t="s">
        <v>208</v>
      </c>
      <c r="C178" s="31"/>
      <c r="D178" s="32">
        <v>1.705</v>
      </c>
      <c r="E178" s="33">
        <f t="shared" si="10"/>
        <v>1.705</v>
      </c>
      <c r="F178" s="33"/>
      <c r="G178" s="33">
        <v>1</v>
      </c>
      <c r="H178" s="34">
        <f t="shared" si="11"/>
        <v>1</v>
      </c>
      <c r="I178" s="35" t="e">
        <f>C178-#REF!</f>
        <v>#REF!</v>
      </c>
      <c r="J178" s="35"/>
      <c r="K178" s="35"/>
      <c r="AJ178" s="36"/>
      <c r="AK178" s="37"/>
      <c r="AL178" s="37"/>
      <c r="AM178" s="37"/>
      <c r="AN178" s="37"/>
      <c r="AO178" s="37"/>
      <c r="AP178" s="36"/>
      <c r="AQ178" s="37"/>
      <c r="AR178" s="37"/>
      <c r="AS178" s="37"/>
      <c r="AT178" s="36"/>
      <c r="AU178" s="37"/>
    </row>
    <row r="179" spans="1:47" ht="12.75">
      <c r="A179" s="29">
        <v>44118</v>
      </c>
      <c r="B179" s="30" t="s">
        <v>209</v>
      </c>
      <c r="C179" s="31"/>
      <c r="D179" s="32">
        <v>2.964</v>
      </c>
      <c r="E179" s="33">
        <f t="shared" si="10"/>
        <v>2.964</v>
      </c>
      <c r="F179" s="33"/>
      <c r="G179" s="33">
        <v>0.38</v>
      </c>
      <c r="H179" s="34">
        <f t="shared" si="11"/>
        <v>0.38</v>
      </c>
      <c r="I179" s="35" t="e">
        <f>C179-#REF!</f>
        <v>#REF!</v>
      </c>
      <c r="J179" s="35"/>
      <c r="K179" s="35"/>
      <c r="AJ179" s="36"/>
      <c r="AK179" s="37"/>
      <c r="AL179" s="37"/>
      <c r="AM179" s="37"/>
      <c r="AN179" s="37"/>
      <c r="AO179" s="37"/>
      <c r="AP179" s="36"/>
      <c r="AQ179" s="37"/>
      <c r="AR179" s="37"/>
      <c r="AS179" s="37"/>
      <c r="AT179" s="36"/>
      <c r="AU179" s="37"/>
    </row>
    <row r="180" spans="1:47" ht="12.75">
      <c r="A180" s="29">
        <v>44119</v>
      </c>
      <c r="B180" s="30" t="s">
        <v>210</v>
      </c>
      <c r="C180" s="31">
        <v>2.832</v>
      </c>
      <c r="D180" s="32"/>
      <c r="E180" s="33">
        <f t="shared" si="10"/>
        <v>2.832</v>
      </c>
      <c r="F180" s="33">
        <v>1.26</v>
      </c>
      <c r="G180" s="33"/>
      <c r="H180" s="34">
        <f t="shared" si="11"/>
        <v>1.26</v>
      </c>
      <c r="I180" s="35" t="e">
        <f>C180-#REF!</f>
        <v>#REF!</v>
      </c>
      <c r="J180" s="35"/>
      <c r="K180" s="35"/>
      <c r="AD180" s="36">
        <v>5</v>
      </c>
      <c r="AE180" s="37">
        <v>2.832</v>
      </c>
      <c r="AL180" s="37"/>
      <c r="AM180" s="37"/>
      <c r="AN180" s="37"/>
      <c r="AO180" s="37"/>
      <c r="AP180" s="36"/>
      <c r="AQ180" s="37"/>
      <c r="AR180" s="37"/>
      <c r="AS180" s="37"/>
      <c r="AT180" s="36"/>
      <c r="AU180" s="37"/>
    </row>
    <row r="181" spans="1:47" ht="12.75">
      <c r="A181" s="29">
        <v>44120</v>
      </c>
      <c r="B181" s="30" t="s">
        <v>211</v>
      </c>
      <c r="C181" s="31">
        <v>2.424</v>
      </c>
      <c r="D181" s="32"/>
      <c r="E181" s="33">
        <f t="shared" si="10"/>
        <v>2.424</v>
      </c>
      <c r="F181" s="33">
        <v>1.27</v>
      </c>
      <c r="G181" s="33"/>
      <c r="H181" s="34">
        <f t="shared" si="11"/>
        <v>1.27</v>
      </c>
      <c r="I181" s="35" t="e">
        <f>C181-#REF!</f>
        <v>#REF!</v>
      </c>
      <c r="J181" s="35"/>
      <c r="K181" s="35"/>
      <c r="AJ181" s="36">
        <v>5.5</v>
      </c>
      <c r="AK181" s="37">
        <v>2.424</v>
      </c>
      <c r="AL181" s="37"/>
      <c r="AM181" s="37"/>
      <c r="AN181" s="37"/>
      <c r="AO181" s="37"/>
      <c r="AP181" s="36"/>
      <c r="AQ181" s="37"/>
      <c r="AR181" s="37"/>
      <c r="AS181" s="37"/>
      <c r="AT181" s="36"/>
      <c r="AU181" s="37"/>
    </row>
    <row r="182" spans="1:47" ht="12.75">
      <c r="A182" s="29">
        <v>44121</v>
      </c>
      <c r="B182" s="30" t="s">
        <v>212</v>
      </c>
      <c r="C182" s="31">
        <v>6.525</v>
      </c>
      <c r="D182" s="32"/>
      <c r="E182" s="33">
        <f t="shared" si="10"/>
        <v>6.525</v>
      </c>
      <c r="F182" s="33">
        <v>4.3</v>
      </c>
      <c r="G182" s="33"/>
      <c r="H182" s="34">
        <f t="shared" si="11"/>
        <v>4.3</v>
      </c>
      <c r="I182" s="35" t="e">
        <f>C182-#REF!</f>
        <v>#REF!</v>
      </c>
      <c r="J182" s="35"/>
      <c r="K182" s="35"/>
      <c r="AJ182" s="36">
        <v>5.5</v>
      </c>
      <c r="AK182" s="37">
        <v>6.525</v>
      </c>
      <c r="AL182" s="37"/>
      <c r="AM182" s="37"/>
      <c r="AN182" s="37"/>
      <c r="AO182" s="37"/>
      <c r="AP182" s="36"/>
      <c r="AQ182" s="37"/>
      <c r="AR182" s="37"/>
      <c r="AS182" s="37"/>
      <c r="AT182" s="36"/>
      <c r="AU182" s="37"/>
    </row>
    <row r="183" spans="1:47" ht="12.75">
      <c r="A183" s="29">
        <v>44122</v>
      </c>
      <c r="B183" s="30" t="s">
        <v>213</v>
      </c>
      <c r="C183" s="31">
        <f>0.78+0.04</f>
        <v>0.8200000000000001</v>
      </c>
      <c r="D183" s="32">
        <v>0.9530000000000001</v>
      </c>
      <c r="E183" s="33">
        <f t="shared" si="10"/>
        <v>1.7730000000000001</v>
      </c>
      <c r="F183" s="33">
        <v>0.7</v>
      </c>
      <c r="G183" s="33"/>
      <c r="H183" s="34">
        <f t="shared" si="11"/>
        <v>0.7</v>
      </c>
      <c r="I183" s="35" t="e">
        <f>C183-#REF!</f>
        <v>#REF!</v>
      </c>
      <c r="J183" s="35"/>
      <c r="K183" s="35"/>
      <c r="AD183" s="36">
        <v>5</v>
      </c>
      <c r="AE183" s="37">
        <v>0.82</v>
      </c>
      <c r="AL183" s="37"/>
      <c r="AM183" s="37"/>
      <c r="AN183" s="37"/>
      <c r="AO183" s="37"/>
      <c r="AP183" s="36"/>
      <c r="AQ183" s="37"/>
      <c r="AR183" s="37"/>
      <c r="AS183" s="37"/>
      <c r="AT183" s="36"/>
      <c r="AU183" s="37"/>
    </row>
    <row r="184" spans="1:47" ht="12.75">
      <c r="A184" s="29">
        <v>44123</v>
      </c>
      <c r="B184" s="30" t="s">
        <v>214</v>
      </c>
      <c r="C184" s="31">
        <v>2.6</v>
      </c>
      <c r="D184" s="32">
        <v>3.581</v>
      </c>
      <c r="E184" s="33">
        <f t="shared" si="10"/>
        <v>6.181</v>
      </c>
      <c r="F184" s="33">
        <v>2.66</v>
      </c>
      <c r="G184" s="33"/>
      <c r="H184" s="34">
        <f t="shared" si="11"/>
        <v>2.66</v>
      </c>
      <c r="I184" s="35" t="e">
        <f>C184-#REF!</f>
        <v>#REF!</v>
      </c>
      <c r="J184" s="35"/>
      <c r="K184" s="35"/>
      <c r="AJ184" s="36">
        <v>5.5</v>
      </c>
      <c r="AK184" s="37">
        <v>2.6</v>
      </c>
      <c r="AL184" s="37"/>
      <c r="AM184" s="37"/>
      <c r="AN184" s="37"/>
      <c r="AO184" s="37"/>
      <c r="AP184" s="36"/>
      <c r="AQ184" s="37"/>
      <c r="AR184" s="37"/>
      <c r="AS184" s="37"/>
      <c r="AT184" s="36"/>
      <c r="AU184" s="37"/>
    </row>
    <row r="185" spans="1:47" ht="22.5">
      <c r="A185" s="29">
        <v>44124</v>
      </c>
      <c r="B185" s="30" t="s">
        <v>215</v>
      </c>
      <c r="C185" s="31">
        <v>1.9</v>
      </c>
      <c r="D185" s="32">
        <v>1.967</v>
      </c>
      <c r="E185" s="33">
        <f t="shared" si="10"/>
        <v>3.867</v>
      </c>
      <c r="F185" s="33">
        <v>1.1400000000000001</v>
      </c>
      <c r="G185" s="33"/>
      <c r="H185" s="34">
        <f t="shared" si="11"/>
        <v>1.1400000000000001</v>
      </c>
      <c r="I185" s="35" t="e">
        <f>C185-#REF!</f>
        <v>#REF!</v>
      </c>
      <c r="J185" s="35"/>
      <c r="K185" s="35"/>
      <c r="AD185" s="36">
        <v>5</v>
      </c>
      <c r="AE185" s="37">
        <v>1.9</v>
      </c>
      <c r="AL185" s="37"/>
      <c r="AM185" s="37"/>
      <c r="AN185" s="37"/>
      <c r="AO185" s="37"/>
      <c r="AP185" s="36"/>
      <c r="AQ185" s="37"/>
      <c r="AR185" s="37"/>
      <c r="AS185" s="37"/>
      <c r="AT185" s="36"/>
      <c r="AU185" s="37"/>
    </row>
    <row r="186" spans="1:47" ht="12.75">
      <c r="A186" s="29">
        <v>44125</v>
      </c>
      <c r="B186" s="30" t="s">
        <v>216</v>
      </c>
      <c r="C186" s="31">
        <f>2.29+1.91</f>
        <v>4.2</v>
      </c>
      <c r="D186" s="32">
        <f>1.91-1.91</f>
        <v>0</v>
      </c>
      <c r="E186" s="33">
        <f t="shared" si="10"/>
        <v>4.2</v>
      </c>
      <c r="F186" s="33">
        <f>1.3+0.9</f>
        <v>2.2</v>
      </c>
      <c r="G186" s="33"/>
      <c r="H186" s="34">
        <f t="shared" si="11"/>
        <v>2.2</v>
      </c>
      <c r="I186" s="35" t="e">
        <f>C186-#REF!</f>
        <v>#REF!</v>
      </c>
      <c r="J186" s="39"/>
      <c r="K186" s="39"/>
      <c r="N186" s="36"/>
      <c r="O186" s="37"/>
      <c r="AL186" s="37"/>
      <c r="AM186" s="37"/>
      <c r="AN186" s="37"/>
      <c r="AO186" s="37"/>
      <c r="AP186" s="36">
        <v>6</v>
      </c>
      <c r="AQ186" s="37">
        <f>2.29+1.91</f>
        <v>4.2</v>
      </c>
      <c r="AR186" s="37"/>
      <c r="AS186" s="37"/>
      <c r="AT186" s="36"/>
      <c r="AU186" s="37"/>
    </row>
    <row r="187" spans="1:47" ht="12.75">
      <c r="A187" s="29">
        <v>44127</v>
      </c>
      <c r="B187" s="30" t="s">
        <v>217</v>
      </c>
      <c r="C187" s="31">
        <v>2.5999999999999996</v>
      </c>
      <c r="D187" s="32"/>
      <c r="E187" s="33">
        <f t="shared" si="10"/>
        <v>2.5999999999999996</v>
      </c>
      <c r="F187" s="33">
        <v>0.8</v>
      </c>
      <c r="G187" s="33"/>
      <c r="H187" s="34">
        <f t="shared" si="11"/>
        <v>0.8</v>
      </c>
      <c r="I187" s="35" t="e">
        <f>C187-#REF!</f>
        <v>#REF!</v>
      </c>
      <c r="J187" s="35"/>
      <c r="K187" s="35"/>
      <c r="AJ187" s="36">
        <v>5.5</v>
      </c>
      <c r="AK187" s="37">
        <v>2.6</v>
      </c>
      <c r="AL187" s="37"/>
      <c r="AM187" s="37"/>
      <c r="AN187" s="37"/>
      <c r="AO187" s="37"/>
      <c r="AP187" s="36"/>
      <c r="AQ187" s="37"/>
      <c r="AR187" s="37"/>
      <c r="AS187" s="37"/>
      <c r="AT187" s="36"/>
      <c r="AU187" s="37"/>
    </row>
    <row r="188" spans="1:47" ht="12.75">
      <c r="A188" s="29">
        <v>44128</v>
      </c>
      <c r="B188" s="30" t="s">
        <v>218</v>
      </c>
      <c r="C188" s="31">
        <v>0.85</v>
      </c>
      <c r="D188" s="32">
        <f>2.702-0.85</f>
        <v>1.8519999999999999</v>
      </c>
      <c r="E188" s="33">
        <f t="shared" si="10"/>
        <v>2.702</v>
      </c>
      <c r="F188" s="33"/>
      <c r="G188" s="33">
        <v>0.7</v>
      </c>
      <c r="H188" s="34">
        <f t="shared" si="11"/>
        <v>0.7</v>
      </c>
      <c r="I188" s="35" t="e">
        <f>C188-#REF!</f>
        <v>#REF!</v>
      </c>
      <c r="J188" s="35"/>
      <c r="K188" s="35"/>
      <c r="AJ188" s="36">
        <v>5.5</v>
      </c>
      <c r="AK188" s="37">
        <v>0.85</v>
      </c>
      <c r="AL188" s="37"/>
      <c r="AM188" s="37"/>
      <c r="AN188" s="37"/>
      <c r="AO188" s="37"/>
      <c r="AP188" s="36"/>
      <c r="AQ188" s="37"/>
      <c r="AR188" s="37"/>
      <c r="AS188" s="37"/>
      <c r="AT188" s="36"/>
      <c r="AU188" s="37"/>
    </row>
    <row r="189" spans="1:47" ht="24.75">
      <c r="A189" s="29">
        <v>44133</v>
      </c>
      <c r="B189" s="30" t="s">
        <v>219</v>
      </c>
      <c r="C189" s="31">
        <f>5.04+0.55</f>
        <v>5.59</v>
      </c>
      <c r="D189" s="32">
        <v>2.336</v>
      </c>
      <c r="E189" s="33">
        <f t="shared" si="10"/>
        <v>7.926</v>
      </c>
      <c r="F189" s="33">
        <f>3.22+0.55</f>
        <v>3.7700000000000005</v>
      </c>
      <c r="G189" s="33">
        <v>0</v>
      </c>
      <c r="H189" s="34">
        <f t="shared" si="11"/>
        <v>3.7700000000000005</v>
      </c>
      <c r="I189" s="35" t="e">
        <f>C189-#REF!</f>
        <v>#REF!</v>
      </c>
      <c r="J189" s="39"/>
      <c r="K189" s="39"/>
      <c r="AD189" s="36">
        <v>5</v>
      </c>
      <c r="AE189" s="37">
        <v>1.35</v>
      </c>
      <c r="AJ189" s="36">
        <v>5.5</v>
      </c>
      <c r="AK189" s="37">
        <f>3.69+0.55</f>
        <v>4.24</v>
      </c>
      <c r="AL189" s="37"/>
      <c r="AM189" s="37"/>
      <c r="AN189" s="37"/>
      <c r="AO189" s="37"/>
      <c r="AR189" s="37"/>
      <c r="AS189" s="37"/>
      <c r="AT189" s="36"/>
      <c r="AU189" s="37"/>
    </row>
    <row r="190" spans="1:47" ht="12.75">
      <c r="A190" s="29">
        <v>44134</v>
      </c>
      <c r="B190" s="30" t="s">
        <v>220</v>
      </c>
      <c r="C190" s="31">
        <f>2.31+0.815+1.53</f>
        <v>4.655</v>
      </c>
      <c r="D190" s="32">
        <f>5.443-1.53</f>
        <v>3.9129999999999994</v>
      </c>
      <c r="E190" s="33">
        <f t="shared" si="10"/>
        <v>8.568</v>
      </c>
      <c r="F190" s="33">
        <v>2.05</v>
      </c>
      <c r="G190" s="33"/>
      <c r="H190" s="34">
        <f t="shared" si="11"/>
        <v>2.05</v>
      </c>
      <c r="I190" s="35" t="e">
        <f>C190-#REF!</f>
        <v>#REF!</v>
      </c>
      <c r="J190" s="39"/>
      <c r="K190" s="39"/>
      <c r="R190" s="36">
        <v>4</v>
      </c>
      <c r="S190" s="37">
        <v>0.615</v>
      </c>
      <c r="AD190" s="36">
        <v>5</v>
      </c>
      <c r="AE190" s="37">
        <v>1.695</v>
      </c>
      <c r="AJ190">
        <v>5.5</v>
      </c>
      <c r="AK190">
        <v>0.8150000000000001</v>
      </c>
      <c r="AL190" s="37"/>
      <c r="AM190" s="37"/>
      <c r="AN190" s="37"/>
      <c r="AO190" s="37"/>
      <c r="AP190" s="36">
        <v>6</v>
      </c>
      <c r="AQ190">
        <v>1.53</v>
      </c>
      <c r="AR190" s="37"/>
      <c r="AS190" s="37"/>
      <c r="AT190" s="36"/>
      <c r="AU190" s="37"/>
    </row>
    <row r="191" spans="1:47" ht="12.75">
      <c r="A191" s="29">
        <v>44135</v>
      </c>
      <c r="B191" s="30" t="s">
        <v>221</v>
      </c>
      <c r="C191" s="31">
        <v>0.08</v>
      </c>
      <c r="D191" s="32">
        <v>3.348</v>
      </c>
      <c r="E191" s="33">
        <f t="shared" si="10"/>
        <v>3.428</v>
      </c>
      <c r="F191" s="33"/>
      <c r="G191" s="33"/>
      <c r="H191" s="34">
        <f t="shared" si="11"/>
        <v>0</v>
      </c>
      <c r="I191" s="35" t="e">
        <f>C191-#REF!</f>
        <v>#REF!</v>
      </c>
      <c r="J191" s="35"/>
      <c r="K191" s="35"/>
      <c r="AJ191" s="36">
        <v>5.5</v>
      </c>
      <c r="AK191" s="37">
        <v>0.08</v>
      </c>
      <c r="AL191" s="37"/>
      <c r="AM191" s="37"/>
      <c r="AN191" s="37"/>
      <c r="AO191" s="37"/>
      <c r="AP191" s="36"/>
      <c r="AQ191" s="37"/>
      <c r="AR191" s="37"/>
      <c r="AS191" s="37"/>
      <c r="AT191" s="36"/>
      <c r="AU191" s="37"/>
    </row>
    <row r="192" spans="1:47" ht="12.75">
      <c r="A192" s="29">
        <v>44136</v>
      </c>
      <c r="B192" s="30" t="s">
        <v>222</v>
      </c>
      <c r="C192" s="31">
        <v>3.258</v>
      </c>
      <c r="D192" s="32"/>
      <c r="E192" s="33">
        <f t="shared" si="10"/>
        <v>3.258</v>
      </c>
      <c r="F192" s="33">
        <v>1.82</v>
      </c>
      <c r="G192" s="33"/>
      <c r="H192" s="34">
        <f t="shared" si="11"/>
        <v>1.82</v>
      </c>
      <c r="I192" s="35" t="e">
        <f>C192-#REF!</f>
        <v>#REF!</v>
      </c>
      <c r="J192" s="35"/>
      <c r="K192" s="35"/>
      <c r="AD192" s="36">
        <v>5</v>
      </c>
      <c r="AE192" s="37">
        <v>1.6800000000000002</v>
      </c>
      <c r="AJ192" s="36">
        <v>5.5</v>
      </c>
      <c r="AK192" s="37">
        <f>1.82-0.242</f>
        <v>1.578</v>
      </c>
      <c r="AL192" s="37"/>
      <c r="AM192" s="37"/>
      <c r="AN192" s="37"/>
      <c r="AO192" s="37"/>
      <c r="AR192" s="37"/>
      <c r="AS192" s="37"/>
      <c r="AT192" s="36"/>
      <c r="AU192" s="37"/>
    </row>
    <row r="193" spans="1:47" ht="12.75">
      <c r="A193" s="29">
        <v>44137</v>
      </c>
      <c r="B193" s="30" t="s">
        <v>223</v>
      </c>
      <c r="C193" s="31">
        <v>1.843</v>
      </c>
      <c r="D193" s="32"/>
      <c r="E193" s="33">
        <f t="shared" si="10"/>
        <v>1.843</v>
      </c>
      <c r="F193" s="33">
        <v>1.48</v>
      </c>
      <c r="G193" s="33"/>
      <c r="H193" s="34">
        <f t="shared" si="11"/>
        <v>1.48</v>
      </c>
      <c r="I193" s="35" t="e">
        <f>C193-#REF!</f>
        <v>#REF!</v>
      </c>
      <c r="J193" s="35"/>
      <c r="K193" s="35"/>
      <c r="AJ193" s="36">
        <v>5.5</v>
      </c>
      <c r="AK193" s="37">
        <f>1.8-0.043+0.086</f>
        <v>1.8430000000000002</v>
      </c>
      <c r="AL193" s="37"/>
      <c r="AM193" s="37"/>
      <c r="AN193" s="37"/>
      <c r="AO193" s="37"/>
      <c r="AP193" s="36"/>
      <c r="AQ193" s="37"/>
      <c r="AR193" s="37"/>
      <c r="AS193" s="37"/>
      <c r="AT193" s="36"/>
      <c r="AU193" s="37"/>
    </row>
    <row r="194" spans="1:47" ht="12.75">
      <c r="A194" s="29">
        <v>44138</v>
      </c>
      <c r="B194" s="30" t="s">
        <v>224</v>
      </c>
      <c r="C194" s="31">
        <v>1.116</v>
      </c>
      <c r="D194" s="32"/>
      <c r="E194" s="33">
        <f t="shared" si="10"/>
        <v>1.116</v>
      </c>
      <c r="F194" s="33">
        <v>1.116</v>
      </c>
      <c r="G194" s="33"/>
      <c r="H194" s="34">
        <f t="shared" si="11"/>
        <v>1.116</v>
      </c>
      <c r="I194" s="35" t="e">
        <f>C194-#REF!</f>
        <v>#REF!</v>
      </c>
      <c r="J194" s="35"/>
      <c r="K194" s="35"/>
      <c r="AJ194" s="36">
        <v>5.5</v>
      </c>
      <c r="AK194" s="37">
        <v>1.116</v>
      </c>
      <c r="AL194" s="37"/>
      <c r="AM194" s="37"/>
      <c r="AN194" s="37"/>
      <c r="AO194" s="37"/>
      <c r="AP194" s="36"/>
      <c r="AQ194" s="37"/>
      <c r="AR194" s="37"/>
      <c r="AS194" s="37"/>
      <c r="AT194" s="36"/>
      <c r="AU194" s="37"/>
    </row>
    <row r="195" spans="1:47" ht="12.75">
      <c r="A195" s="29">
        <v>44139</v>
      </c>
      <c r="B195" s="30" t="s">
        <v>225</v>
      </c>
      <c r="C195" s="31">
        <v>4.931</v>
      </c>
      <c r="D195" s="32"/>
      <c r="E195" s="33">
        <f>C195+D195</f>
        <v>4.931</v>
      </c>
      <c r="F195" s="33">
        <v>0.64</v>
      </c>
      <c r="G195" s="33"/>
      <c r="H195" s="34">
        <f t="shared" si="11"/>
        <v>0.64</v>
      </c>
      <c r="I195" s="35" t="e">
        <f>C195-#REF!</f>
        <v>#REF!</v>
      </c>
      <c r="J195" s="35"/>
      <c r="K195" s="35"/>
      <c r="AD195" s="36">
        <v>5</v>
      </c>
      <c r="AE195" s="37">
        <v>0.631</v>
      </c>
      <c r="AJ195" s="36">
        <v>5.5</v>
      </c>
      <c r="AK195" s="37">
        <v>4.3</v>
      </c>
      <c r="AL195" s="37"/>
      <c r="AM195" s="37"/>
      <c r="AN195" s="37"/>
      <c r="AO195" s="37"/>
      <c r="AR195" s="37"/>
      <c r="AS195" s="37"/>
      <c r="AT195" s="36"/>
      <c r="AU195" s="37"/>
    </row>
    <row r="196" spans="1:47" ht="12.75">
      <c r="A196" s="29">
        <v>44141</v>
      </c>
      <c r="B196" s="30" t="s">
        <v>226</v>
      </c>
      <c r="C196" s="31">
        <v>2</v>
      </c>
      <c r="D196" s="32">
        <v>2.29</v>
      </c>
      <c r="E196" s="33">
        <f>C196+D196</f>
        <v>4.29</v>
      </c>
      <c r="F196" s="33">
        <v>0.52</v>
      </c>
      <c r="G196" s="33"/>
      <c r="H196" s="34">
        <f t="shared" si="11"/>
        <v>0.52</v>
      </c>
      <c r="I196" s="35" t="e">
        <f>C196-#REF!</f>
        <v>#REF!</v>
      </c>
      <c r="J196" s="35"/>
      <c r="K196" s="35"/>
      <c r="AL196" s="37"/>
      <c r="AM196" s="37"/>
      <c r="AN196" s="37"/>
      <c r="AO196" s="37"/>
      <c r="AP196" s="36">
        <v>6</v>
      </c>
      <c r="AQ196" s="37">
        <v>2</v>
      </c>
      <c r="AR196" s="37"/>
      <c r="AS196" s="37"/>
      <c r="AT196" s="36"/>
      <c r="AU196" s="37"/>
    </row>
    <row r="197" spans="1:8" ht="12.75">
      <c r="A197" s="76"/>
      <c r="B197" s="77" t="s">
        <v>124</v>
      </c>
      <c r="C197" s="78">
        <f aca="true" t="shared" si="12" ref="C197:H197">SUM(C98:C196)</f>
        <v>308.18799999999993</v>
      </c>
      <c r="D197" s="79">
        <f t="shared" si="12"/>
        <v>172.74100000000007</v>
      </c>
      <c r="E197" s="61">
        <f t="shared" si="12"/>
        <v>480.9289999999998</v>
      </c>
      <c r="F197" s="61">
        <f t="shared" si="12"/>
        <v>119.76</v>
      </c>
      <c r="G197" s="61">
        <f t="shared" si="12"/>
        <v>6.300000000000001</v>
      </c>
      <c r="H197" s="61">
        <f t="shared" si="12"/>
        <v>126.06000000000002</v>
      </c>
    </row>
    <row r="198" spans="1:42" ht="12.75">
      <c r="A198" s="80"/>
      <c r="B198" s="81"/>
      <c r="C198" s="64"/>
      <c r="D198" s="65"/>
      <c r="E198" s="82"/>
      <c r="F198" s="82"/>
      <c r="G198" s="82"/>
      <c r="H198" s="82"/>
      <c r="AJ198" s="36"/>
      <c r="AP198" s="36"/>
    </row>
    <row r="199" spans="1:47" ht="12.75">
      <c r="A199" s="80"/>
      <c r="B199" s="81"/>
      <c r="C199" s="83"/>
      <c r="D199" s="65"/>
      <c r="E199" s="84"/>
      <c r="F199" s="84"/>
      <c r="G199" s="84"/>
      <c r="H199" s="84"/>
      <c r="I199" t="s">
        <v>228</v>
      </c>
      <c r="M199" s="85">
        <f>SUM(M8:M196)</f>
        <v>8.02</v>
      </c>
      <c r="N199" s="85"/>
      <c r="O199" s="85">
        <f>SUM(O8:O196)</f>
        <v>27.248000000000005</v>
      </c>
      <c r="P199" s="85"/>
      <c r="Q199" s="85">
        <f>SUM(Q8:Q196)</f>
        <v>7.04</v>
      </c>
      <c r="R199" s="85"/>
      <c r="S199" s="85">
        <f>SUM(S8:S196)</f>
        <v>61.625</v>
      </c>
      <c r="T199" s="85"/>
      <c r="U199" s="85">
        <f>SUM(U8:U196)</f>
        <v>1.5</v>
      </c>
      <c r="V199" s="85"/>
      <c r="W199" s="85">
        <f>SUM(W8:W196)</f>
        <v>6.054</v>
      </c>
      <c r="X199" s="85"/>
      <c r="Y199" s="85">
        <f>SUM(Y8:Y196)</f>
        <v>7.5</v>
      </c>
      <c r="Z199" s="85"/>
      <c r="AA199" s="85">
        <f>SUM(AA8:AA196)</f>
        <v>8.172</v>
      </c>
      <c r="AB199" s="85"/>
      <c r="AC199" s="85">
        <f>SUM(AC8:AC196)</f>
        <v>1.799</v>
      </c>
      <c r="AD199" s="85"/>
      <c r="AE199" s="85">
        <f>SUM(AE8:AE196)</f>
        <v>177.49699999999993</v>
      </c>
      <c r="AF199" s="85"/>
      <c r="AG199" s="85">
        <f>SUM(AG8:AG196)</f>
        <v>25.018</v>
      </c>
      <c r="AH199" s="85"/>
      <c r="AI199" s="85">
        <f>SUM(AI8:AI196)</f>
        <v>2.2</v>
      </c>
      <c r="AJ199" s="85"/>
      <c r="AK199" s="85">
        <f>SUM(AK8:AK196)</f>
        <v>256.09299999999996</v>
      </c>
      <c r="AL199" s="85"/>
      <c r="AM199" s="85">
        <f>SUM(AM8:AM196)</f>
        <v>0.25</v>
      </c>
      <c r="AN199" s="85"/>
      <c r="AO199" s="85">
        <f>SUM(AO8:AO196)</f>
        <v>3.4880000000000004</v>
      </c>
      <c r="AP199" s="85"/>
      <c r="AQ199" s="85">
        <f>SUM(AQ8:AQ196)</f>
        <v>270.7900000000001</v>
      </c>
      <c r="AR199" s="85"/>
      <c r="AS199" s="85">
        <f>SUM(AS8:AS196)</f>
        <v>10.700000000000001</v>
      </c>
      <c r="AT199" s="85"/>
      <c r="AU199" s="85">
        <f>SUM(AU8:AU196)</f>
        <v>4.133</v>
      </c>
    </row>
    <row r="200" spans="1:42" ht="12.75">
      <c r="A200" s="80"/>
      <c r="B200" s="86"/>
      <c r="C200" s="64"/>
      <c r="D200" s="4"/>
      <c r="E200" s="4"/>
      <c r="F200" s="4"/>
      <c r="G200" s="4"/>
      <c r="H200" s="4"/>
      <c r="AJ200" s="36"/>
      <c r="AP200" s="36"/>
    </row>
    <row r="201" spans="1:42" ht="12.75">
      <c r="A201" s="80"/>
      <c r="B201" s="86"/>
      <c r="C201" s="64"/>
      <c r="D201" s="4"/>
      <c r="E201" s="4"/>
      <c r="F201" s="4"/>
      <c r="G201" s="4"/>
      <c r="H201" s="4"/>
      <c r="I201" t="s">
        <v>229</v>
      </c>
      <c r="M201" s="35">
        <f>SUM(M199:AC199)</f>
        <v>128.958</v>
      </c>
      <c r="N201" t="s">
        <v>230</v>
      </c>
      <c r="AJ201" s="36"/>
      <c r="AP201" s="36"/>
    </row>
    <row r="202" spans="1:42" ht="42.75">
      <c r="A202" s="118" t="s">
        <v>231</v>
      </c>
      <c r="B202" s="118"/>
      <c r="C202" s="87" t="s">
        <v>232</v>
      </c>
      <c r="D202" s="88" t="s">
        <v>233</v>
      </c>
      <c r="E202" s="89" t="s">
        <v>234</v>
      </c>
      <c r="F202" s="90" t="s">
        <v>235</v>
      </c>
      <c r="G202" s="90" t="s">
        <v>236</v>
      </c>
      <c r="H202" s="90" t="s">
        <v>237</v>
      </c>
      <c r="J202" s="19" t="s">
        <v>238</v>
      </c>
      <c r="K202" s="19"/>
      <c r="AJ202" s="36"/>
      <c r="AP202" s="36"/>
    </row>
    <row r="203" spans="1:47" ht="15">
      <c r="A203" s="119" t="s">
        <v>240</v>
      </c>
      <c r="B203" s="119"/>
      <c r="C203" s="26">
        <f aca="true" t="shared" si="13" ref="C203:H203">C95</f>
        <v>624.9739999999999</v>
      </c>
      <c r="D203" s="91">
        <f t="shared" si="13"/>
        <v>9.31</v>
      </c>
      <c r="E203" s="92">
        <f t="shared" si="13"/>
        <v>634.2839999999999</v>
      </c>
      <c r="F203" s="92">
        <f t="shared" si="13"/>
        <v>280.10900000000015</v>
      </c>
      <c r="G203" s="92">
        <f t="shared" si="13"/>
        <v>0</v>
      </c>
      <c r="H203" s="92">
        <f t="shared" si="13"/>
        <v>280.10900000000015</v>
      </c>
      <c r="L203" s="93">
        <f>2.5*M199*1000</f>
        <v>20049.999999999996</v>
      </c>
      <c r="M203" s="93"/>
      <c r="N203" s="93">
        <f>3*O199*1000</f>
        <v>81744.00000000001</v>
      </c>
      <c r="O203" s="93"/>
      <c r="P203" s="93">
        <f>3.5*Q199*1000</f>
        <v>24640</v>
      </c>
      <c r="Q203" s="93"/>
      <c r="R203" s="93">
        <f>4*S199*1000</f>
        <v>246500</v>
      </c>
      <c r="S203" s="93"/>
      <c r="T203" s="93">
        <f>4.2*U199*1000</f>
        <v>6300.000000000001</v>
      </c>
      <c r="U203" s="93"/>
      <c r="V203" s="93">
        <f>4.3*W199*1000</f>
        <v>26032.2</v>
      </c>
      <c r="W203" s="93"/>
      <c r="X203" s="93">
        <f>4.4*Y199*1000</f>
        <v>33000</v>
      </c>
      <c r="Y203" s="93"/>
      <c r="Z203" s="93">
        <f>4.5*AA199*1000</f>
        <v>36774</v>
      </c>
      <c r="AA203" s="93"/>
      <c r="AB203" s="93">
        <f>4.8*AC199*1000</f>
        <v>8635.199999999999</v>
      </c>
      <c r="AC203" s="93"/>
      <c r="AD203" s="93">
        <f>5*AE199*1000</f>
        <v>887484.9999999997</v>
      </c>
      <c r="AE203" s="93"/>
      <c r="AF203" s="93">
        <f>5.2*AG199*1000</f>
        <v>130093.6</v>
      </c>
      <c r="AG203" s="93"/>
      <c r="AH203" s="93">
        <f>5.3*AI199*1000</f>
        <v>11660</v>
      </c>
      <c r="AI203" s="93"/>
      <c r="AJ203" s="93">
        <f>5.5*AK199*1000</f>
        <v>1408511.4999999998</v>
      </c>
      <c r="AK203" s="93"/>
      <c r="AL203" s="93">
        <f>5.7*AM199*1000</f>
        <v>1425</v>
      </c>
      <c r="AM203" s="93"/>
      <c r="AN203" s="93">
        <f>5.8*AO199*1000</f>
        <v>20230.4</v>
      </c>
      <c r="AO203" s="93"/>
      <c r="AP203" s="93">
        <f>6*AQ199*1000</f>
        <v>1624740.0000000005</v>
      </c>
      <c r="AQ203" s="93"/>
      <c r="AR203" s="93">
        <f>6.2*AS199*1000</f>
        <v>66340</v>
      </c>
      <c r="AS203" s="93"/>
      <c r="AT203" s="93">
        <f>6.5*AU199*1000</f>
        <v>26864.5</v>
      </c>
      <c r="AU203" s="93"/>
    </row>
    <row r="204" spans="1:42" ht="15">
      <c r="A204" s="120" t="s">
        <v>241</v>
      </c>
      <c r="B204" s="120"/>
      <c r="C204" s="94">
        <f aca="true" t="shared" si="14" ref="C204:H204">C197</f>
        <v>308.18799999999993</v>
      </c>
      <c r="D204" s="95">
        <f t="shared" si="14"/>
        <v>172.74100000000007</v>
      </c>
      <c r="E204" s="96">
        <f t="shared" si="14"/>
        <v>480.9289999999998</v>
      </c>
      <c r="F204" s="96">
        <f t="shared" si="14"/>
        <v>119.76</v>
      </c>
      <c r="G204" s="96">
        <f t="shared" si="14"/>
        <v>6.300000000000001</v>
      </c>
      <c r="H204" s="96">
        <f t="shared" si="14"/>
        <v>126.06000000000002</v>
      </c>
      <c r="J204" s="93" t="e">
        <f>#REF!</f>
        <v>#REF!</v>
      </c>
      <c r="K204" s="93"/>
      <c r="AJ204" s="36"/>
      <c r="AP204" s="36"/>
    </row>
    <row r="205" spans="1:42" ht="15">
      <c r="A205" s="121" t="s">
        <v>234</v>
      </c>
      <c r="B205" s="121"/>
      <c r="C205" s="97">
        <f aca="true" t="shared" si="15" ref="C205:H205">C203+C204</f>
        <v>933.1619999999998</v>
      </c>
      <c r="D205" s="98">
        <f t="shared" si="15"/>
        <v>182.05100000000007</v>
      </c>
      <c r="E205" s="99">
        <f t="shared" si="15"/>
        <v>1115.2129999999997</v>
      </c>
      <c r="F205" s="99">
        <f t="shared" si="15"/>
        <v>399.86900000000014</v>
      </c>
      <c r="G205" s="99">
        <f t="shared" si="15"/>
        <v>6.300000000000001</v>
      </c>
      <c r="H205" s="99">
        <f t="shared" si="15"/>
        <v>406.16900000000015</v>
      </c>
      <c r="AJ205" s="36"/>
      <c r="AP205" s="36"/>
    </row>
    <row r="206" spans="36:42" ht="12">
      <c r="AJ206" s="36"/>
      <c r="AP206" s="36"/>
    </row>
    <row r="207" spans="10:42" ht="87">
      <c r="J207" s="100" t="s">
        <v>242</v>
      </c>
      <c r="K207" s="101" t="e">
        <f>#REF!</f>
        <v>#REF!</v>
      </c>
      <c r="AJ207" s="36"/>
      <c r="AP207" s="36"/>
    </row>
    <row r="208" spans="36:42" ht="12">
      <c r="AJ208" s="36"/>
      <c r="AP208" s="36"/>
    </row>
    <row r="209" spans="36:42" ht="12">
      <c r="AJ209" s="36"/>
      <c r="AP209" s="36"/>
    </row>
    <row r="210" spans="36:42" ht="12">
      <c r="AJ210" s="36"/>
      <c r="AP210" s="36"/>
    </row>
    <row r="211" spans="36:42" ht="12">
      <c r="AJ211" s="36"/>
      <c r="AP211" s="36"/>
    </row>
    <row r="212" spans="36:42" ht="12">
      <c r="AJ212" s="36"/>
      <c r="AP212" s="36"/>
    </row>
    <row r="213" ht="12">
      <c r="AP213" s="36"/>
    </row>
    <row r="214" ht="12">
      <c r="AP214" s="36"/>
    </row>
    <row r="215" ht="12">
      <c r="AP215" s="36"/>
    </row>
    <row r="216" ht="12">
      <c r="AP216" s="36"/>
    </row>
    <row r="217" ht="12">
      <c r="AP217" s="36"/>
    </row>
    <row r="218" ht="12">
      <c r="AP218" s="36"/>
    </row>
    <row r="219" ht="12">
      <c r="AP219" s="36"/>
    </row>
    <row r="220" ht="12">
      <c r="AP220" s="36"/>
    </row>
    <row r="221" ht="12">
      <c r="AP221" s="36"/>
    </row>
    <row r="222" ht="12">
      <c r="AP222" s="36"/>
    </row>
    <row r="223" ht="12">
      <c r="AP223" s="36"/>
    </row>
    <row r="224" ht="12">
      <c r="AP224" s="36"/>
    </row>
    <row r="225" ht="12">
      <c r="AP225" s="36"/>
    </row>
    <row r="226" ht="12">
      <c r="AP226" s="36"/>
    </row>
    <row r="227" ht="12">
      <c r="AP227" s="36"/>
    </row>
    <row r="228" ht="12">
      <c r="AP228" s="36"/>
    </row>
    <row r="229" ht="12">
      <c r="AP229" s="36"/>
    </row>
    <row r="230" ht="12">
      <c r="AP230" s="36"/>
    </row>
    <row r="231" ht="12">
      <c r="AP231" s="36"/>
    </row>
    <row r="232" ht="12">
      <c r="AP232" s="36"/>
    </row>
    <row r="233" ht="12">
      <c r="AP233" s="36"/>
    </row>
    <row r="234" ht="12">
      <c r="AP234" s="36"/>
    </row>
    <row r="235" ht="12">
      <c r="AP235" s="36"/>
    </row>
    <row r="236" ht="12">
      <c r="AP236" s="36"/>
    </row>
    <row r="237" ht="12">
      <c r="AP237" s="36"/>
    </row>
  </sheetData>
  <sheetProtection selectLockedCells="1" selectUnlockedCells="1"/>
  <mergeCells count="5">
    <mergeCell ref="A4:A6"/>
    <mergeCell ref="A202:B202"/>
    <mergeCell ref="A203:B203"/>
    <mergeCell ref="A204:B204"/>
    <mergeCell ref="A205:B205"/>
  </mergeCells>
  <printOptions/>
  <pageMargins left="0.7875" right="0.7875" top="0.6493055555555556" bottom="0.5284722222222222" header="0.3840277777777778" footer="0.26319444444444445"/>
  <pageSetup horizontalDpi="300" verticalDpi="300" orientation="portrait" paperSize="9"/>
  <headerFooter alignWithMargins="0">
    <oddHeader>&amp;L&amp;"Times New Roman,Regular"&amp;12Razvrstavanje javnih cesta NN 18/2021 i NN 100/2021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236"/>
  <sheetViews>
    <sheetView showZeros="0" zoomScalePageLayoutView="0" workbookViewId="0" topLeftCell="A4">
      <pane xSplit="2" ySplit="3" topLeftCell="C69" activePane="bottomRight" state="frozen"/>
      <selection pane="topLeft" activeCell="A4" sqref="A4"/>
      <selection pane="topRight" activeCell="C4" sqref="C4"/>
      <selection pane="bottomLeft" activeCell="A69" sqref="A69"/>
      <selection pane="bottomRight" activeCell="BJ265" sqref="BJ265"/>
    </sheetView>
  </sheetViews>
  <sheetFormatPr defaultColWidth="11.57421875" defaultRowHeight="12.75"/>
  <cols>
    <col min="1" max="1" width="8.28125" style="0" customWidth="1"/>
    <col min="2" max="2" width="43.00390625" style="0" customWidth="1"/>
    <col min="3" max="4" width="11.57421875" style="0" customWidth="1"/>
    <col min="5" max="5" width="13.00390625" style="0" customWidth="1"/>
    <col min="6" max="6" width="11.57421875" style="0" customWidth="1"/>
    <col min="7" max="7" width="11.421875" style="0" customWidth="1"/>
    <col min="8" max="10" width="11.57421875" style="0" customWidth="1"/>
    <col min="11" max="11" width="6.421875" style="0" customWidth="1"/>
    <col min="12" max="12" width="9.8515625" style="0" customWidth="1"/>
    <col min="13" max="13" width="6.140625" style="0" customWidth="1"/>
    <col min="14" max="14" width="9.28125" style="0" customWidth="1"/>
    <col min="15" max="15" width="6.28125" style="0" customWidth="1"/>
    <col min="16" max="16" width="9.421875" style="0" customWidth="1"/>
    <col min="17" max="17" width="6.00390625" style="0" customWidth="1"/>
    <col min="18" max="18" width="9.8515625" style="0" customWidth="1"/>
    <col min="19" max="19" width="6.140625" style="0" customWidth="1"/>
    <col min="20" max="20" width="9.7109375" style="0" customWidth="1"/>
    <col min="21" max="21" width="6.140625" style="0" customWidth="1"/>
    <col min="22" max="22" width="9.7109375" style="0" customWidth="1"/>
    <col min="23" max="23" width="6.140625" style="0" customWidth="1"/>
    <col min="24" max="24" width="9.7109375" style="0" customWidth="1"/>
    <col min="25" max="25" width="6.140625" style="0" customWidth="1"/>
    <col min="26" max="26" width="9.7109375" style="0" customWidth="1"/>
    <col min="27" max="27" width="6.421875" style="0" customWidth="1"/>
    <col min="28" max="28" width="11.57421875" style="0" customWidth="1"/>
    <col min="29" max="29" width="6.421875" style="0" customWidth="1"/>
    <col min="30" max="30" width="11.57421875" style="0" customWidth="1"/>
    <col min="31" max="31" width="6.421875" style="0" customWidth="1"/>
    <col min="32" max="32" width="9.8515625" style="0" customWidth="1"/>
    <col min="33" max="33" width="6.421875" style="0" customWidth="1"/>
    <col min="34" max="34" width="9.8515625" style="0" customWidth="1"/>
    <col min="35" max="35" width="6.421875" style="0" customWidth="1"/>
    <col min="36" max="36" width="9.8515625" style="0" customWidth="1"/>
    <col min="37" max="37" width="6.140625" style="0" customWidth="1"/>
    <col min="38" max="38" width="9.28125" style="0" customWidth="1"/>
    <col min="39" max="39" width="6.140625" style="0" customWidth="1"/>
    <col min="40" max="40" width="9.28125" style="0" customWidth="1"/>
    <col min="41" max="41" width="6.140625" style="0" customWidth="1"/>
    <col min="42" max="42" width="9.28125" style="0" customWidth="1"/>
    <col min="43" max="43" width="5.421875" style="0" customWidth="1"/>
    <col min="44" max="44" width="9.421875" style="0" customWidth="1"/>
    <col min="45" max="45" width="5.421875" style="0" customWidth="1"/>
    <col min="46" max="46" width="9.421875" style="0" customWidth="1"/>
    <col min="47" max="47" width="6.00390625" style="0" customWidth="1"/>
    <col min="48" max="48" width="9.8515625" style="0" customWidth="1"/>
    <col min="49" max="49" width="6.140625" style="0" customWidth="1"/>
    <col min="50" max="50" width="9.7109375" style="0" customWidth="1"/>
    <col min="51" max="51" width="5.421875" style="0" customWidth="1"/>
    <col min="52" max="52" width="11.57421875" style="0" customWidth="1"/>
    <col min="53" max="53" width="5.421875" style="0" customWidth="1"/>
    <col min="54" max="54" width="11.57421875" style="0" customWidth="1"/>
    <col min="55" max="55" width="9.140625" style="0" customWidth="1"/>
    <col min="56" max="58" width="11.57421875" style="0" customWidth="1"/>
    <col min="59" max="59" width="0" style="0" hidden="1" customWidth="1"/>
  </cols>
  <sheetData>
    <row r="1" spans="1:9" ht="17.25">
      <c r="A1" s="1"/>
      <c r="B1" s="2" t="s">
        <v>0</v>
      </c>
      <c r="C1" s="3"/>
      <c r="D1" s="4"/>
      <c r="E1" s="4"/>
      <c r="F1" s="4"/>
      <c r="G1" s="4"/>
      <c r="H1" s="4"/>
      <c r="I1" s="4"/>
    </row>
    <row r="2" spans="1:9" ht="12">
      <c r="A2" s="5"/>
      <c r="B2" s="6"/>
      <c r="C2" s="7"/>
      <c r="D2" s="8"/>
      <c r="E2" s="8"/>
      <c r="F2" s="8"/>
      <c r="G2" s="8"/>
      <c r="H2" s="8"/>
      <c r="I2" s="8"/>
    </row>
    <row r="3" spans="1:9" ht="12.75">
      <c r="A3" s="1"/>
      <c r="B3" s="9"/>
      <c r="C3" s="10"/>
      <c r="D3" s="11"/>
      <c r="E3" s="11"/>
      <c r="F3" s="11"/>
      <c r="G3" s="11"/>
      <c r="H3" s="11"/>
      <c r="I3" s="11"/>
    </row>
    <row r="4" spans="1:9" ht="12.75">
      <c r="A4" s="102"/>
      <c r="B4" s="12"/>
      <c r="C4" s="13" t="s">
        <v>2</v>
      </c>
      <c r="D4" s="14" t="s">
        <v>3</v>
      </c>
      <c r="E4" s="14"/>
      <c r="F4" s="15" t="s">
        <v>4</v>
      </c>
      <c r="G4" s="15" t="s">
        <v>5</v>
      </c>
      <c r="H4" s="15" t="s">
        <v>3</v>
      </c>
      <c r="I4" s="15" t="s">
        <v>6</v>
      </c>
    </row>
    <row r="5" spans="1:58" ht="39">
      <c r="A5" s="103" t="s">
        <v>243</v>
      </c>
      <c r="B5" s="16" t="s">
        <v>7</v>
      </c>
      <c r="C5" s="17" t="s">
        <v>8</v>
      </c>
      <c r="D5" s="17" t="s">
        <v>2</v>
      </c>
      <c r="E5" s="17" t="s">
        <v>244</v>
      </c>
      <c r="F5" s="18" t="s">
        <v>6</v>
      </c>
      <c r="G5" s="18" t="s">
        <v>9</v>
      </c>
      <c r="H5" s="18" t="s">
        <v>9</v>
      </c>
      <c r="I5" s="18" t="s">
        <v>9</v>
      </c>
      <c r="K5" s="19" t="s">
        <v>10</v>
      </c>
      <c r="L5" s="19" t="s">
        <v>11</v>
      </c>
      <c r="M5" s="19" t="s">
        <v>12</v>
      </c>
      <c r="N5" s="19" t="s">
        <v>11</v>
      </c>
      <c r="O5" s="19" t="s">
        <v>13</v>
      </c>
      <c r="P5" s="19" t="s">
        <v>11</v>
      </c>
      <c r="Q5" s="19" t="s">
        <v>14</v>
      </c>
      <c r="R5" s="19" t="s">
        <v>11</v>
      </c>
      <c r="S5" s="19" t="s">
        <v>15</v>
      </c>
      <c r="T5" s="19" t="s">
        <v>11</v>
      </c>
      <c r="U5" s="19" t="s">
        <v>16</v>
      </c>
      <c r="V5" s="19" t="s">
        <v>11</v>
      </c>
      <c r="W5" s="19" t="s">
        <v>17</v>
      </c>
      <c r="X5" s="19" t="s">
        <v>11</v>
      </c>
      <c r="Y5" s="19" t="s">
        <v>18</v>
      </c>
      <c r="Z5" s="19" t="s">
        <v>11</v>
      </c>
      <c r="AA5" s="19" t="s">
        <v>19</v>
      </c>
      <c r="AB5" s="19" t="s">
        <v>11</v>
      </c>
      <c r="AC5" s="19" t="s">
        <v>20</v>
      </c>
      <c r="AD5" s="19" t="s">
        <v>11</v>
      </c>
      <c r="AE5" s="19" t="s">
        <v>21</v>
      </c>
      <c r="AF5" s="19" t="s">
        <v>11</v>
      </c>
      <c r="AG5" s="19" t="s">
        <v>22</v>
      </c>
      <c r="AH5" s="19" t="s">
        <v>11</v>
      </c>
      <c r="AI5" s="19" t="s">
        <v>23</v>
      </c>
      <c r="AJ5" s="19" t="s">
        <v>11</v>
      </c>
      <c r="AK5" s="19" t="s">
        <v>24</v>
      </c>
      <c r="AL5" s="19" t="s">
        <v>11</v>
      </c>
      <c r="AM5" s="19" t="s">
        <v>25</v>
      </c>
      <c r="AN5" s="19" t="s">
        <v>11</v>
      </c>
      <c r="AO5" s="19" t="s">
        <v>26</v>
      </c>
      <c r="AP5" s="19" t="s">
        <v>11</v>
      </c>
      <c r="AQ5" s="19" t="s">
        <v>27</v>
      </c>
      <c r="AR5" s="19" t="s">
        <v>11</v>
      </c>
      <c r="AS5" s="19" t="s">
        <v>28</v>
      </c>
      <c r="AT5" s="19" t="s">
        <v>11</v>
      </c>
      <c r="AU5" s="19" t="s">
        <v>29</v>
      </c>
      <c r="AV5" s="19" t="s">
        <v>11</v>
      </c>
      <c r="AW5" s="19" t="s">
        <v>30</v>
      </c>
      <c r="AX5" s="19" t="s">
        <v>11</v>
      </c>
      <c r="AY5" s="19" t="s">
        <v>31</v>
      </c>
      <c r="AZ5" s="19" t="s">
        <v>11</v>
      </c>
      <c r="BA5" s="19" t="s">
        <v>32</v>
      </c>
      <c r="BB5" s="19" t="s">
        <v>11</v>
      </c>
      <c r="BC5" s="19" t="s">
        <v>33</v>
      </c>
      <c r="BD5" s="19" t="s">
        <v>11</v>
      </c>
      <c r="BE5" s="20" t="s">
        <v>34</v>
      </c>
      <c r="BF5" s="19" t="s">
        <v>35</v>
      </c>
    </row>
    <row r="6" spans="1:9" ht="12">
      <c r="A6" s="104" t="s">
        <v>245</v>
      </c>
      <c r="B6" s="21"/>
      <c r="C6" s="22" t="s">
        <v>36</v>
      </c>
      <c r="D6" s="22" t="s">
        <v>36</v>
      </c>
      <c r="E6" s="22"/>
      <c r="F6" s="23" t="s">
        <v>36</v>
      </c>
      <c r="G6" s="23"/>
      <c r="H6" s="23"/>
      <c r="I6" s="23"/>
    </row>
    <row r="7" spans="1:9" ht="12.75">
      <c r="A7" s="24"/>
      <c r="B7" s="25"/>
      <c r="C7" s="26"/>
      <c r="D7" s="27"/>
      <c r="E7" s="27"/>
      <c r="F7" s="28"/>
      <c r="G7" s="28"/>
      <c r="H7" s="28"/>
      <c r="I7" s="28"/>
    </row>
    <row r="8" spans="1:59" ht="12.75">
      <c r="A8" s="29">
        <v>4011</v>
      </c>
      <c r="B8" s="30" t="s">
        <v>37</v>
      </c>
      <c r="C8" s="31">
        <v>4.4</v>
      </c>
      <c r="D8" s="32"/>
      <c r="E8" s="32"/>
      <c r="F8" s="33">
        <v>4.4</v>
      </c>
      <c r="G8" s="33">
        <v>1</v>
      </c>
      <c r="H8" s="33"/>
      <c r="I8" s="34">
        <f aca="true" t="shared" si="0" ref="I8:I39">G8+H8</f>
        <v>1</v>
      </c>
      <c r="J8" s="35">
        <f aca="true" t="shared" si="1" ref="J8:J39">C8-BE8</f>
        <v>0</v>
      </c>
      <c r="AC8" s="36">
        <v>5</v>
      </c>
      <c r="AD8" s="37">
        <v>2.2</v>
      </c>
      <c r="AG8" s="36">
        <v>5.3</v>
      </c>
      <c r="AH8" s="37">
        <v>2.2</v>
      </c>
      <c r="AS8" s="36"/>
      <c r="AT8" s="37"/>
      <c r="AU8" s="36"/>
      <c r="AV8" s="37"/>
      <c r="AW8" s="36"/>
      <c r="AX8" s="37"/>
      <c r="AY8" s="37"/>
      <c r="AZ8" s="37"/>
      <c r="BA8" s="36"/>
      <c r="BB8" s="37"/>
      <c r="BC8" s="37"/>
      <c r="BD8" s="37"/>
      <c r="BE8" s="37">
        <f aca="true" t="shared" si="2" ref="BE8:BE39">L8+N8+P8+R8+T8+V8+X8+Z8+AB8+AD8+AF8+AH8+AJ8+AL8+AN8+AP8+AR8+AT8+AV8+AX8+AZ8+BB8+BD8</f>
        <v>4.4</v>
      </c>
      <c r="BF8" s="38">
        <f aca="true" t="shared" si="3" ref="BF8:BF39">(K8*L8+M8*N8+O8*P8+Q8*R8+S8*T8+U8*V8+W8*X8+Y8*Z8+AA8*AB8+AC8*AD8+AE8*AF8+AG8*AH8+AI8*AJ8+AK8*AL8+AM8*AN8+AO8*AP8+AQ8*AR8+AS8*AT8+AU8*AV8+AW8*AX8+AY8*AZ8+BA8*BB8+BC8*BD8)/BE8</f>
        <v>5.1499999999999995</v>
      </c>
      <c r="BG8" s="35">
        <f aca="true" t="shared" si="4" ref="BG8:BG39">BF8*BE8</f>
        <v>22.66</v>
      </c>
    </row>
    <row r="9" spans="1:59" ht="12.75">
      <c r="A9" s="29">
        <v>4017</v>
      </c>
      <c r="B9" s="30" t="s">
        <v>38</v>
      </c>
      <c r="C9" s="31">
        <v>1.9</v>
      </c>
      <c r="D9" s="32"/>
      <c r="E9" s="32"/>
      <c r="F9" s="33">
        <v>1.9</v>
      </c>
      <c r="G9" s="33">
        <v>1.9</v>
      </c>
      <c r="H9" s="33"/>
      <c r="I9" s="34">
        <f t="shared" si="0"/>
        <v>1.9</v>
      </c>
      <c r="J9" s="35">
        <f t="shared" si="1"/>
        <v>0</v>
      </c>
      <c r="AC9" s="36">
        <v>5</v>
      </c>
      <c r="AD9" s="37">
        <v>0.4</v>
      </c>
      <c r="AI9" s="36">
        <v>5.5</v>
      </c>
      <c r="AJ9" s="37">
        <v>1.5</v>
      </c>
      <c r="AK9" s="37"/>
      <c r="AL9" s="37"/>
      <c r="AM9" s="37"/>
      <c r="AN9" s="37"/>
      <c r="AS9" s="36"/>
      <c r="AT9" s="37"/>
      <c r="AU9" s="36"/>
      <c r="AV9" s="37"/>
      <c r="AW9" s="36"/>
      <c r="AX9" s="37"/>
      <c r="AY9" s="37"/>
      <c r="AZ9" s="37"/>
      <c r="BA9" s="36"/>
      <c r="BB9" s="37"/>
      <c r="BC9" s="37"/>
      <c r="BD9" s="37"/>
      <c r="BE9" s="37">
        <f t="shared" si="2"/>
        <v>1.9</v>
      </c>
      <c r="BF9" s="38">
        <f t="shared" si="3"/>
        <v>5.394736842105264</v>
      </c>
      <c r="BG9" s="35">
        <f t="shared" si="4"/>
        <v>10.25</v>
      </c>
    </row>
    <row r="10" spans="1:59" ht="12.75">
      <c r="A10" s="29">
        <v>4018</v>
      </c>
      <c r="B10" s="30" t="s">
        <v>39</v>
      </c>
      <c r="C10" s="31">
        <v>18.500000000000004</v>
      </c>
      <c r="D10" s="32"/>
      <c r="E10" s="32"/>
      <c r="F10" s="33">
        <v>18.500000000000004</v>
      </c>
      <c r="G10" s="33">
        <v>4.9</v>
      </c>
      <c r="H10" s="33"/>
      <c r="I10" s="34">
        <f t="shared" si="0"/>
        <v>4.9</v>
      </c>
      <c r="J10" s="35">
        <f t="shared" si="1"/>
        <v>0</v>
      </c>
      <c r="Y10" s="36">
        <v>4.5</v>
      </c>
      <c r="Z10" s="37">
        <v>0.1</v>
      </c>
      <c r="AA10" s="37"/>
      <c r="AB10" s="37"/>
      <c r="AC10" s="36">
        <v>5</v>
      </c>
      <c r="AD10" s="37">
        <v>0.6000000000000001</v>
      </c>
      <c r="AO10" s="36">
        <v>6</v>
      </c>
      <c r="AP10" s="37">
        <v>14.9</v>
      </c>
      <c r="AQ10" s="36">
        <v>6.2</v>
      </c>
      <c r="AR10" s="37">
        <v>1.9</v>
      </c>
      <c r="AU10" s="36">
        <v>7</v>
      </c>
      <c r="AV10" s="37">
        <v>1</v>
      </c>
      <c r="BA10" s="36"/>
      <c r="BB10" s="37"/>
      <c r="BC10" s="37"/>
      <c r="BD10" s="37"/>
      <c r="BE10" s="37">
        <f t="shared" si="2"/>
        <v>18.5</v>
      </c>
      <c r="BF10" s="38">
        <f t="shared" si="3"/>
        <v>6.034054054054055</v>
      </c>
      <c r="BG10" s="35">
        <f t="shared" si="4"/>
        <v>111.63000000000001</v>
      </c>
    </row>
    <row r="11" spans="1:59" ht="12.75">
      <c r="A11" s="29">
        <v>4019</v>
      </c>
      <c r="B11" s="30" t="s">
        <v>40</v>
      </c>
      <c r="C11" s="31">
        <v>14.6</v>
      </c>
      <c r="D11" s="32"/>
      <c r="E11" s="32"/>
      <c r="F11" s="33">
        <v>14.6</v>
      </c>
      <c r="G11" s="33">
        <v>4.92</v>
      </c>
      <c r="H11" s="33"/>
      <c r="I11" s="34">
        <f t="shared" si="0"/>
        <v>4.92</v>
      </c>
      <c r="J11" s="35">
        <f t="shared" si="1"/>
        <v>0</v>
      </c>
      <c r="Q11" s="36">
        <v>4</v>
      </c>
      <c r="R11" s="37">
        <v>11.4</v>
      </c>
      <c r="S11" s="37"/>
      <c r="T11" s="37"/>
      <c r="U11" s="37"/>
      <c r="V11" s="37"/>
      <c r="W11" s="37"/>
      <c r="X11" s="37"/>
      <c r="AC11" s="36">
        <v>5</v>
      </c>
      <c r="AD11" s="37">
        <f>2.8</f>
        <v>2.8</v>
      </c>
      <c r="AO11" s="36">
        <v>6</v>
      </c>
      <c r="AP11" s="37">
        <v>0.4</v>
      </c>
      <c r="AQ11" s="37"/>
      <c r="AR11" s="37"/>
      <c r="AU11" s="36"/>
      <c r="AV11" s="37"/>
      <c r="AW11" s="36"/>
      <c r="AX11" s="37"/>
      <c r="AY11" s="37"/>
      <c r="AZ11" s="37"/>
      <c r="BA11" s="36"/>
      <c r="BB11" s="37"/>
      <c r="BC11" s="37"/>
      <c r="BD11" s="37"/>
      <c r="BE11" s="37">
        <f t="shared" si="2"/>
        <v>14.6</v>
      </c>
      <c r="BF11" s="38">
        <f t="shared" si="3"/>
        <v>4.2465753424657535</v>
      </c>
      <c r="BG11" s="35">
        <f t="shared" si="4"/>
        <v>62</v>
      </c>
    </row>
    <row r="12" spans="1:59" ht="12.75">
      <c r="A12" s="29">
        <v>4027</v>
      </c>
      <c r="B12" s="30" t="s">
        <v>41</v>
      </c>
      <c r="C12" s="31">
        <v>2.2</v>
      </c>
      <c r="D12" s="32"/>
      <c r="E12" s="32"/>
      <c r="F12" s="33">
        <v>2.2</v>
      </c>
      <c r="G12" s="33">
        <v>1.78</v>
      </c>
      <c r="H12" s="33"/>
      <c r="I12" s="34">
        <f t="shared" si="0"/>
        <v>1.78</v>
      </c>
      <c r="J12" s="35">
        <f t="shared" si="1"/>
        <v>0</v>
      </c>
      <c r="Q12" s="36">
        <v>4</v>
      </c>
      <c r="R12" s="37">
        <v>2.1</v>
      </c>
      <c r="S12" s="37"/>
      <c r="T12" s="37"/>
      <c r="U12" s="37"/>
      <c r="V12" s="37"/>
      <c r="W12" s="37"/>
      <c r="X12" s="37"/>
      <c r="AC12" s="36">
        <v>5</v>
      </c>
      <c r="AD12" s="37">
        <v>0.1</v>
      </c>
      <c r="AQ12" s="37"/>
      <c r="AR12" s="37"/>
      <c r="AS12" s="36"/>
      <c r="AT12" s="37"/>
      <c r="AU12" s="36"/>
      <c r="AV12" s="37"/>
      <c r="AW12" s="36"/>
      <c r="AX12" s="37"/>
      <c r="AY12" s="37"/>
      <c r="AZ12" s="37"/>
      <c r="BA12" s="36"/>
      <c r="BB12" s="37"/>
      <c r="BC12" s="37"/>
      <c r="BD12" s="37"/>
      <c r="BE12" s="37">
        <f t="shared" si="2"/>
        <v>2.2</v>
      </c>
      <c r="BF12" s="38">
        <f t="shared" si="3"/>
        <v>4.045454545454545</v>
      </c>
      <c r="BG12" s="35">
        <f t="shared" si="4"/>
        <v>8.9</v>
      </c>
    </row>
    <row r="13" spans="1:59" ht="24.75">
      <c r="A13" s="29">
        <v>4030</v>
      </c>
      <c r="B13" s="30" t="s">
        <v>42</v>
      </c>
      <c r="C13" s="31">
        <v>7.03</v>
      </c>
      <c r="D13" s="32"/>
      <c r="E13" s="32"/>
      <c r="F13" s="33">
        <v>7.03</v>
      </c>
      <c r="G13" s="33">
        <v>2.58</v>
      </c>
      <c r="H13" s="33"/>
      <c r="I13" s="34">
        <f t="shared" si="0"/>
        <v>2.58</v>
      </c>
      <c r="J13" s="35">
        <f t="shared" si="1"/>
        <v>0</v>
      </c>
      <c r="AO13" s="36">
        <v>6</v>
      </c>
      <c r="AP13" s="37">
        <v>7.03</v>
      </c>
      <c r="AQ13" s="37"/>
      <c r="AR13" s="37"/>
      <c r="AS13" s="36"/>
      <c r="AT13" s="37"/>
      <c r="AU13" s="36"/>
      <c r="AV13" s="37"/>
      <c r="AW13" s="36"/>
      <c r="AX13" s="37"/>
      <c r="AY13" s="37"/>
      <c r="AZ13" s="37"/>
      <c r="BA13" s="36"/>
      <c r="BB13" s="37"/>
      <c r="BC13" s="37"/>
      <c r="BD13" s="37"/>
      <c r="BE13" s="37">
        <f t="shared" si="2"/>
        <v>7.03</v>
      </c>
      <c r="BF13" s="38">
        <f t="shared" si="3"/>
        <v>6</v>
      </c>
      <c r="BG13" s="35">
        <f t="shared" si="4"/>
        <v>42.18</v>
      </c>
    </row>
    <row r="14" spans="1:59" ht="24.75">
      <c r="A14" s="29">
        <v>4031</v>
      </c>
      <c r="B14" s="30" t="s">
        <v>43</v>
      </c>
      <c r="C14" s="31">
        <v>39</v>
      </c>
      <c r="D14" s="32"/>
      <c r="E14" s="32"/>
      <c r="F14" s="33">
        <v>39</v>
      </c>
      <c r="G14" s="33">
        <v>14.73</v>
      </c>
      <c r="H14" s="33"/>
      <c r="I14" s="34">
        <f t="shared" si="0"/>
        <v>14.73</v>
      </c>
      <c r="J14" s="35">
        <f t="shared" si="1"/>
        <v>0</v>
      </c>
      <c r="Q14" s="36">
        <v>4</v>
      </c>
      <c r="R14" s="37">
        <v>7.89</v>
      </c>
      <c r="S14" s="37"/>
      <c r="T14" s="37"/>
      <c r="U14" s="37"/>
      <c r="V14" s="37"/>
      <c r="W14" s="37"/>
      <c r="X14" s="37"/>
      <c r="AC14" s="36">
        <v>5</v>
      </c>
      <c r="AD14" s="37">
        <v>3.66</v>
      </c>
      <c r="AE14" s="36">
        <v>5.2</v>
      </c>
      <c r="AF14" s="37">
        <v>6.6</v>
      </c>
      <c r="AI14" s="36">
        <v>5.5</v>
      </c>
      <c r="AJ14" s="37">
        <v>18.25</v>
      </c>
      <c r="AK14" s="37"/>
      <c r="AL14" s="37"/>
      <c r="AM14" s="37"/>
      <c r="AN14" s="37"/>
      <c r="AO14" s="36">
        <v>6</v>
      </c>
      <c r="AP14" s="37">
        <v>2.6</v>
      </c>
      <c r="AQ14" s="37"/>
      <c r="AR14" s="37"/>
      <c r="BA14" s="36"/>
      <c r="BB14" s="37"/>
      <c r="BC14" s="37"/>
      <c r="BD14" s="37"/>
      <c r="BE14" s="37">
        <f t="shared" si="2"/>
        <v>39</v>
      </c>
      <c r="BF14" s="38">
        <f t="shared" si="3"/>
        <v>5.132179487179487</v>
      </c>
      <c r="BG14" s="35">
        <f t="shared" si="4"/>
        <v>200.15499999999997</v>
      </c>
    </row>
    <row r="15" spans="1:59" ht="12.75">
      <c r="A15" s="29">
        <v>4032</v>
      </c>
      <c r="B15" s="30" t="s">
        <v>246</v>
      </c>
      <c r="C15" s="31">
        <v>9.2</v>
      </c>
      <c r="D15" s="32"/>
      <c r="E15" s="32">
        <v>9.3</v>
      </c>
      <c r="F15" s="33">
        <v>9.2</v>
      </c>
      <c r="G15" s="33">
        <v>3.19</v>
      </c>
      <c r="H15" s="33"/>
      <c r="I15" s="34">
        <f t="shared" si="0"/>
        <v>3.19</v>
      </c>
      <c r="J15" s="35">
        <f t="shared" si="1"/>
        <v>0</v>
      </c>
      <c r="AE15" s="36">
        <v>5.2</v>
      </c>
      <c r="AF15" s="37">
        <v>3.2</v>
      </c>
      <c r="AI15" s="36">
        <v>5.5</v>
      </c>
      <c r="AJ15" s="37">
        <v>6</v>
      </c>
      <c r="AK15" s="37"/>
      <c r="AL15" s="37"/>
      <c r="AM15" s="37"/>
      <c r="AN15" s="37"/>
      <c r="AQ15" s="37"/>
      <c r="AR15" s="37"/>
      <c r="AS15" s="36"/>
      <c r="AT15" s="37"/>
      <c r="AU15" s="36"/>
      <c r="AV15" s="37"/>
      <c r="AW15" s="36"/>
      <c r="AX15" s="37"/>
      <c r="AY15" s="37"/>
      <c r="AZ15" s="37"/>
      <c r="BA15" s="36"/>
      <c r="BB15" s="37"/>
      <c r="BC15" s="37"/>
      <c r="BD15" s="37"/>
      <c r="BE15" s="37">
        <f t="shared" si="2"/>
        <v>9.2</v>
      </c>
      <c r="BF15" s="38">
        <f t="shared" si="3"/>
        <v>5.395652173913044</v>
      </c>
      <c r="BG15" s="35">
        <f t="shared" si="4"/>
        <v>49.64</v>
      </c>
    </row>
    <row r="16" spans="1:59" ht="12.75">
      <c r="A16" s="29">
        <v>4033</v>
      </c>
      <c r="B16" s="30" t="s">
        <v>247</v>
      </c>
      <c r="C16" s="31">
        <v>7.2</v>
      </c>
      <c r="D16" s="32"/>
      <c r="E16" s="32"/>
      <c r="F16" s="33">
        <v>7.2</v>
      </c>
      <c r="G16" s="33">
        <v>2.22</v>
      </c>
      <c r="H16" s="33"/>
      <c r="I16" s="34">
        <f t="shared" si="0"/>
        <v>2.22</v>
      </c>
      <c r="J16" s="35">
        <f t="shared" si="1"/>
        <v>0</v>
      </c>
      <c r="Q16" s="36">
        <v>4</v>
      </c>
      <c r="R16" s="37">
        <v>7.2</v>
      </c>
      <c r="S16" s="37"/>
      <c r="T16" s="37"/>
      <c r="U16" s="37"/>
      <c r="V16" s="37"/>
      <c r="W16" s="37"/>
      <c r="X16" s="37"/>
      <c r="AO16" s="36"/>
      <c r="AP16" s="37"/>
      <c r="AQ16" s="37"/>
      <c r="AR16" s="37"/>
      <c r="AS16" s="36"/>
      <c r="AT16" s="37"/>
      <c r="AU16" s="36"/>
      <c r="AV16" s="37"/>
      <c r="AW16" s="36"/>
      <c r="AX16" s="37"/>
      <c r="AY16" s="37"/>
      <c r="AZ16" s="37"/>
      <c r="BA16" s="36"/>
      <c r="BB16" s="37"/>
      <c r="BC16" s="37"/>
      <c r="BD16" s="37"/>
      <c r="BE16" s="37">
        <f t="shared" si="2"/>
        <v>7.2</v>
      </c>
      <c r="BF16" s="38">
        <f t="shared" si="3"/>
        <v>4</v>
      </c>
      <c r="BG16" s="35">
        <f t="shared" si="4"/>
        <v>28.8</v>
      </c>
    </row>
    <row r="17" spans="1:59" ht="12.75">
      <c r="A17" s="29">
        <v>4034</v>
      </c>
      <c r="B17" s="30" t="s">
        <v>46</v>
      </c>
      <c r="C17" s="31">
        <v>3.4</v>
      </c>
      <c r="D17" s="32"/>
      <c r="E17" s="32"/>
      <c r="F17" s="33">
        <v>3.4</v>
      </c>
      <c r="G17" s="33">
        <v>2.08</v>
      </c>
      <c r="H17" s="33"/>
      <c r="I17" s="34">
        <f t="shared" si="0"/>
        <v>2.08</v>
      </c>
      <c r="J17" s="35">
        <f t="shared" si="1"/>
        <v>0</v>
      </c>
      <c r="M17" s="36">
        <v>3</v>
      </c>
      <c r="N17" s="37">
        <v>0.7</v>
      </c>
      <c r="Q17" s="36">
        <v>4</v>
      </c>
      <c r="R17" s="37">
        <v>1.1</v>
      </c>
      <c r="S17" s="37"/>
      <c r="T17" s="37"/>
      <c r="U17" s="37"/>
      <c r="V17" s="37"/>
      <c r="W17" s="37"/>
      <c r="X17" s="37"/>
      <c r="AC17" s="36">
        <v>5</v>
      </c>
      <c r="AD17" s="37">
        <v>1.6</v>
      </c>
      <c r="AQ17" s="37"/>
      <c r="AR17" s="37"/>
      <c r="AU17" s="36"/>
      <c r="AV17" s="37"/>
      <c r="AW17" s="36"/>
      <c r="AX17" s="37"/>
      <c r="AY17" s="37"/>
      <c r="AZ17" s="37"/>
      <c r="BA17" s="36"/>
      <c r="BB17" s="37"/>
      <c r="BC17" s="37"/>
      <c r="BD17" s="37"/>
      <c r="BE17" s="37">
        <f t="shared" si="2"/>
        <v>3.4000000000000004</v>
      </c>
      <c r="BF17" s="38">
        <f t="shared" si="3"/>
        <v>4.264705882352941</v>
      </c>
      <c r="BG17" s="35">
        <f t="shared" si="4"/>
        <v>14.500000000000002</v>
      </c>
    </row>
    <row r="18" spans="1:59" ht="12.75">
      <c r="A18" s="29">
        <v>4037</v>
      </c>
      <c r="B18" s="30" t="s">
        <v>47</v>
      </c>
      <c r="C18" s="31">
        <v>7.8</v>
      </c>
      <c r="D18" s="32"/>
      <c r="E18" s="32"/>
      <c r="F18" s="33">
        <v>7.8</v>
      </c>
      <c r="G18" s="33">
        <v>2.86</v>
      </c>
      <c r="H18" s="33"/>
      <c r="I18" s="34">
        <f t="shared" si="0"/>
        <v>2.86</v>
      </c>
      <c r="J18" s="35">
        <f t="shared" si="1"/>
        <v>0</v>
      </c>
      <c r="Q18" s="36">
        <v>4</v>
      </c>
      <c r="R18" s="37">
        <v>4.9</v>
      </c>
      <c r="S18" s="37"/>
      <c r="T18" s="37"/>
      <c r="U18" s="37"/>
      <c r="V18" s="37"/>
      <c r="W18" s="37"/>
      <c r="X18" s="37"/>
      <c r="AI18" s="36">
        <v>5.5</v>
      </c>
      <c r="AJ18" s="37">
        <v>2.8</v>
      </c>
      <c r="AK18" s="37"/>
      <c r="AL18" s="37"/>
      <c r="AM18" s="37"/>
      <c r="AN18" s="37"/>
      <c r="AO18" s="36">
        <v>6</v>
      </c>
      <c r="AP18" s="37">
        <v>0.1</v>
      </c>
      <c r="AQ18" s="37"/>
      <c r="AR18" s="37"/>
      <c r="AU18" s="36"/>
      <c r="AV18" s="37"/>
      <c r="AW18" s="36"/>
      <c r="AX18" s="37"/>
      <c r="AY18" s="37"/>
      <c r="AZ18" s="37"/>
      <c r="BA18" s="36"/>
      <c r="BB18" s="37"/>
      <c r="BC18" s="37"/>
      <c r="BD18" s="37"/>
      <c r="BE18" s="37">
        <f t="shared" si="2"/>
        <v>7.8</v>
      </c>
      <c r="BF18" s="38">
        <f t="shared" si="3"/>
        <v>4.564102564102565</v>
      </c>
      <c r="BG18" s="35">
        <f t="shared" si="4"/>
        <v>35.6</v>
      </c>
    </row>
    <row r="19" spans="1:59" ht="12.75">
      <c r="A19" s="29">
        <v>4040</v>
      </c>
      <c r="B19" s="30" t="s">
        <v>248</v>
      </c>
      <c r="C19" s="31">
        <v>1</v>
      </c>
      <c r="D19" s="32"/>
      <c r="E19" s="32"/>
      <c r="F19" s="33">
        <v>1</v>
      </c>
      <c r="G19" s="33">
        <v>1</v>
      </c>
      <c r="H19" s="33"/>
      <c r="I19" s="34">
        <f t="shared" si="0"/>
        <v>1</v>
      </c>
      <c r="J19" s="35">
        <f t="shared" si="1"/>
        <v>0</v>
      </c>
      <c r="Q19" s="36">
        <v>4</v>
      </c>
      <c r="R19" s="37">
        <v>1</v>
      </c>
      <c r="S19" s="37"/>
      <c r="T19" s="37"/>
      <c r="U19" s="37"/>
      <c r="V19" s="37"/>
      <c r="W19" s="37"/>
      <c r="X19" s="37"/>
      <c r="AO19" s="36"/>
      <c r="AP19" s="37"/>
      <c r="AQ19" s="37"/>
      <c r="AR19" s="37"/>
      <c r="AS19" s="36"/>
      <c r="AT19" s="37"/>
      <c r="AU19" s="36"/>
      <c r="AV19" s="37"/>
      <c r="AW19" s="36"/>
      <c r="AX19" s="37"/>
      <c r="AY19" s="37"/>
      <c r="AZ19" s="37"/>
      <c r="BA19" s="36"/>
      <c r="BB19" s="37"/>
      <c r="BC19" s="37"/>
      <c r="BD19" s="37"/>
      <c r="BE19" s="37">
        <f t="shared" si="2"/>
        <v>1</v>
      </c>
      <c r="BF19" s="38">
        <f t="shared" si="3"/>
        <v>4</v>
      </c>
      <c r="BG19" s="35">
        <f t="shared" si="4"/>
        <v>4</v>
      </c>
    </row>
    <row r="20" spans="1:59" ht="24.75">
      <c r="A20" s="29">
        <v>4041</v>
      </c>
      <c r="B20" s="30" t="s">
        <v>49</v>
      </c>
      <c r="C20" s="31">
        <v>18.5</v>
      </c>
      <c r="D20" s="32"/>
      <c r="E20" s="32"/>
      <c r="F20" s="33">
        <v>18.5</v>
      </c>
      <c r="G20" s="33">
        <v>11</v>
      </c>
      <c r="H20" s="33"/>
      <c r="I20" s="34">
        <f t="shared" si="0"/>
        <v>11</v>
      </c>
      <c r="J20" s="35">
        <f t="shared" si="1"/>
        <v>0</v>
      </c>
      <c r="AO20" s="36">
        <v>6</v>
      </c>
      <c r="AP20" s="37">
        <v>18.5</v>
      </c>
      <c r="AQ20" s="37"/>
      <c r="AR20" s="37"/>
      <c r="AS20" s="36"/>
      <c r="AT20" s="37"/>
      <c r="AU20" s="36"/>
      <c r="AV20" s="37"/>
      <c r="AW20" s="36"/>
      <c r="AX20" s="37"/>
      <c r="AY20" s="37"/>
      <c r="AZ20" s="37"/>
      <c r="BA20" s="36"/>
      <c r="BB20" s="37"/>
      <c r="BC20" s="37"/>
      <c r="BD20" s="37"/>
      <c r="BE20" s="37">
        <f t="shared" si="2"/>
        <v>18.5</v>
      </c>
      <c r="BF20" s="38">
        <f t="shared" si="3"/>
        <v>6</v>
      </c>
      <c r="BG20" s="35">
        <f t="shared" si="4"/>
        <v>111</v>
      </c>
    </row>
    <row r="21" spans="1:59" ht="24.75">
      <c r="A21" s="29">
        <v>4042</v>
      </c>
      <c r="B21" s="30" t="s">
        <v>50</v>
      </c>
      <c r="C21" s="31">
        <v>18.2</v>
      </c>
      <c r="D21" s="32"/>
      <c r="E21" s="32"/>
      <c r="F21" s="33">
        <v>18.2</v>
      </c>
      <c r="G21" s="33">
        <v>10.11</v>
      </c>
      <c r="H21" s="33"/>
      <c r="I21" s="34">
        <f t="shared" si="0"/>
        <v>10.11</v>
      </c>
      <c r="J21" s="35">
        <f t="shared" si="1"/>
        <v>0</v>
      </c>
      <c r="AO21" s="36">
        <v>6</v>
      </c>
      <c r="AP21" s="37">
        <v>7.9</v>
      </c>
      <c r="AQ21" s="37"/>
      <c r="AR21" s="37"/>
      <c r="AS21" s="36"/>
      <c r="AT21" s="37"/>
      <c r="AU21" s="36">
        <v>7</v>
      </c>
      <c r="AV21" s="37">
        <f>9+1.3</f>
        <v>10.3</v>
      </c>
      <c r="AW21" s="36"/>
      <c r="AX21" s="37"/>
      <c r="AY21" s="37"/>
      <c r="AZ21" s="37"/>
      <c r="BA21" s="36"/>
      <c r="BB21" s="37"/>
      <c r="BC21" s="37"/>
      <c r="BD21" s="37"/>
      <c r="BE21" s="37">
        <f t="shared" si="2"/>
        <v>18.200000000000003</v>
      </c>
      <c r="BF21" s="38">
        <f t="shared" si="3"/>
        <v>6.565934065934066</v>
      </c>
      <c r="BG21" s="35">
        <f t="shared" si="4"/>
        <v>119.50000000000001</v>
      </c>
    </row>
    <row r="22" spans="1:59" ht="12.75">
      <c r="A22" s="29">
        <v>4046</v>
      </c>
      <c r="B22" s="30" t="s">
        <v>51</v>
      </c>
      <c r="C22" s="31">
        <f>2.6</f>
        <v>2.6</v>
      </c>
      <c r="D22" s="32"/>
      <c r="E22" s="32"/>
      <c r="F22" s="33">
        <v>2.6</v>
      </c>
      <c r="G22" s="33">
        <v>1</v>
      </c>
      <c r="H22" s="33"/>
      <c r="I22" s="34">
        <f t="shared" si="0"/>
        <v>1</v>
      </c>
      <c r="J22" s="35">
        <f t="shared" si="1"/>
        <v>0</v>
      </c>
      <c r="AI22" s="36">
        <v>5.5</v>
      </c>
      <c r="AJ22" s="37">
        <v>2.6</v>
      </c>
      <c r="AK22" s="37"/>
      <c r="AL22" s="37"/>
      <c r="AM22" s="37"/>
      <c r="AN22" s="37"/>
      <c r="AO22" s="36"/>
      <c r="AP22" s="37"/>
      <c r="AQ22" s="37"/>
      <c r="AR22" s="37"/>
      <c r="AS22" s="36"/>
      <c r="AT22" s="37"/>
      <c r="AU22" s="36"/>
      <c r="AV22" s="37"/>
      <c r="AW22" s="36"/>
      <c r="AX22" s="37"/>
      <c r="AY22" s="37"/>
      <c r="AZ22" s="37"/>
      <c r="BA22" s="36"/>
      <c r="BB22" s="37"/>
      <c r="BC22" s="37"/>
      <c r="BD22" s="37"/>
      <c r="BE22" s="37">
        <f t="shared" si="2"/>
        <v>2.6</v>
      </c>
      <c r="BF22" s="38">
        <f t="shared" si="3"/>
        <v>5.5</v>
      </c>
      <c r="BG22" s="35">
        <f t="shared" si="4"/>
        <v>14.3</v>
      </c>
    </row>
    <row r="23" spans="1:59" ht="24.75">
      <c r="A23" s="29">
        <v>4047</v>
      </c>
      <c r="B23" s="30" t="s">
        <v>52</v>
      </c>
      <c r="C23" s="31">
        <v>8.6</v>
      </c>
      <c r="D23" s="32"/>
      <c r="E23" s="32"/>
      <c r="F23" s="33">
        <v>8.6</v>
      </c>
      <c r="G23" s="33">
        <v>3.13</v>
      </c>
      <c r="H23" s="33"/>
      <c r="I23" s="34">
        <f t="shared" si="0"/>
        <v>3.13</v>
      </c>
      <c r="J23" s="35">
        <f t="shared" si="1"/>
        <v>0</v>
      </c>
      <c r="AM23" s="36">
        <v>5.8</v>
      </c>
      <c r="AN23" s="37">
        <v>1.885</v>
      </c>
      <c r="AO23" s="36">
        <v>6</v>
      </c>
      <c r="AP23" s="37">
        <v>6.715</v>
      </c>
      <c r="AQ23" s="37"/>
      <c r="AR23" s="37"/>
      <c r="AS23" s="36"/>
      <c r="AT23" s="37"/>
      <c r="AU23" s="36"/>
      <c r="AV23" s="37"/>
      <c r="AW23" s="36"/>
      <c r="AX23" s="37"/>
      <c r="AY23" s="37"/>
      <c r="AZ23" s="37"/>
      <c r="BA23" s="36"/>
      <c r="BB23" s="37"/>
      <c r="BC23" s="37"/>
      <c r="BD23" s="37"/>
      <c r="BE23" s="37">
        <f t="shared" si="2"/>
        <v>8.6</v>
      </c>
      <c r="BF23" s="38">
        <f t="shared" si="3"/>
        <v>5.956162790697674</v>
      </c>
      <c r="BG23" s="35">
        <f t="shared" si="4"/>
        <v>51.223</v>
      </c>
    </row>
    <row r="24" spans="1:59" ht="12.75">
      <c r="A24" s="29">
        <v>4048</v>
      </c>
      <c r="B24" s="30" t="s">
        <v>53</v>
      </c>
      <c r="C24" s="31">
        <v>4.2</v>
      </c>
      <c r="D24" s="32"/>
      <c r="E24" s="32"/>
      <c r="F24" s="33">
        <v>4.2</v>
      </c>
      <c r="G24" s="33">
        <v>1.6800000000000002</v>
      </c>
      <c r="H24" s="33"/>
      <c r="I24" s="34">
        <f t="shared" si="0"/>
        <v>1.6800000000000002</v>
      </c>
      <c r="J24" s="35">
        <f t="shared" si="1"/>
        <v>0</v>
      </c>
      <c r="AC24" s="36">
        <v>5</v>
      </c>
      <c r="AD24" s="37">
        <v>2.85</v>
      </c>
      <c r="AI24" s="36">
        <v>5.5</v>
      </c>
      <c r="AJ24" s="37">
        <v>1.35</v>
      </c>
      <c r="AK24" s="37"/>
      <c r="AL24" s="37"/>
      <c r="AM24" s="37"/>
      <c r="AN24" s="37"/>
      <c r="AQ24" s="37"/>
      <c r="AR24" s="37"/>
      <c r="AS24" s="36"/>
      <c r="AT24" s="37"/>
      <c r="AU24" s="36"/>
      <c r="AV24" s="37"/>
      <c r="AW24" s="36"/>
      <c r="AX24" s="37"/>
      <c r="AY24" s="37"/>
      <c r="AZ24" s="37"/>
      <c r="BA24" s="36"/>
      <c r="BB24" s="37"/>
      <c r="BC24" s="37"/>
      <c r="BD24" s="37"/>
      <c r="BE24" s="37">
        <f t="shared" si="2"/>
        <v>4.2</v>
      </c>
      <c r="BF24" s="38">
        <f t="shared" si="3"/>
        <v>5.160714285714286</v>
      </c>
      <c r="BG24" s="35">
        <f t="shared" si="4"/>
        <v>21.675</v>
      </c>
    </row>
    <row r="25" spans="1:59" ht="12.75">
      <c r="A25" s="29">
        <v>4049</v>
      </c>
      <c r="B25" s="30" t="s">
        <v>54</v>
      </c>
      <c r="C25" s="31">
        <v>9.8</v>
      </c>
      <c r="D25" s="32"/>
      <c r="E25" s="32"/>
      <c r="F25" s="33">
        <v>9.8</v>
      </c>
      <c r="G25" s="33">
        <v>2.96</v>
      </c>
      <c r="H25" s="33"/>
      <c r="I25" s="34">
        <f t="shared" si="0"/>
        <v>2.96</v>
      </c>
      <c r="J25" s="35">
        <f t="shared" si="1"/>
        <v>0</v>
      </c>
      <c r="AM25" s="37"/>
      <c r="AN25" s="37"/>
      <c r="AO25" s="36">
        <v>6</v>
      </c>
      <c r="AP25" s="37">
        <v>9.8</v>
      </c>
      <c r="AQ25" s="37"/>
      <c r="AR25" s="37"/>
      <c r="AS25" s="36"/>
      <c r="AT25" s="37"/>
      <c r="AU25" s="36"/>
      <c r="AV25" s="37"/>
      <c r="AW25" s="36"/>
      <c r="AX25" s="37"/>
      <c r="AY25" s="37"/>
      <c r="AZ25" s="37"/>
      <c r="BA25" s="36"/>
      <c r="BB25" s="37"/>
      <c r="BC25" s="37"/>
      <c r="BD25" s="37"/>
      <c r="BE25" s="37">
        <f t="shared" si="2"/>
        <v>9.8</v>
      </c>
      <c r="BF25" s="38">
        <f t="shared" si="3"/>
        <v>6</v>
      </c>
      <c r="BG25" s="35">
        <f t="shared" si="4"/>
        <v>58.800000000000004</v>
      </c>
    </row>
    <row r="26" spans="1:59" ht="24.75">
      <c r="A26" s="29">
        <v>4050</v>
      </c>
      <c r="B26" s="30" t="s">
        <v>55</v>
      </c>
      <c r="C26" s="31">
        <v>2.9</v>
      </c>
      <c r="D26" s="32"/>
      <c r="E26" s="32"/>
      <c r="F26" s="33">
        <v>2.9</v>
      </c>
      <c r="G26" s="33">
        <v>2.9</v>
      </c>
      <c r="H26" s="33"/>
      <c r="I26" s="34">
        <f t="shared" si="0"/>
        <v>2.9</v>
      </c>
      <c r="J26" s="35">
        <f t="shared" si="1"/>
        <v>0</v>
      </c>
      <c r="AM26" s="37"/>
      <c r="AN26" s="37"/>
      <c r="AO26" s="36">
        <v>6</v>
      </c>
      <c r="AP26" s="37">
        <v>0.30000000000000004</v>
      </c>
      <c r="AQ26" s="37"/>
      <c r="AR26" s="37"/>
      <c r="AU26" s="36">
        <v>7</v>
      </c>
      <c r="AV26" s="37">
        <v>2.15</v>
      </c>
      <c r="AW26" s="36"/>
      <c r="AX26" s="37"/>
      <c r="AY26" s="37"/>
      <c r="AZ26" s="37"/>
      <c r="BA26" s="36">
        <v>9</v>
      </c>
      <c r="BB26" s="37">
        <v>0.45</v>
      </c>
      <c r="BC26" s="37"/>
      <c r="BD26" s="37"/>
      <c r="BE26" s="37">
        <f t="shared" si="2"/>
        <v>2.9000000000000004</v>
      </c>
      <c r="BF26" s="38">
        <f t="shared" si="3"/>
        <v>7.206896551724136</v>
      </c>
      <c r="BG26" s="35">
        <f t="shared" si="4"/>
        <v>20.9</v>
      </c>
    </row>
    <row r="27" spans="1:59" ht="22.5">
      <c r="A27" s="29">
        <v>4051</v>
      </c>
      <c r="B27" s="30" t="s">
        <v>56</v>
      </c>
      <c r="C27" s="31">
        <v>4.7</v>
      </c>
      <c r="D27" s="32"/>
      <c r="E27" s="32"/>
      <c r="F27" s="33">
        <v>4.7</v>
      </c>
      <c r="G27" s="33">
        <v>4.7</v>
      </c>
      <c r="H27" s="33"/>
      <c r="I27" s="34">
        <f t="shared" si="0"/>
        <v>4.7</v>
      </c>
      <c r="J27" s="35">
        <f t="shared" si="1"/>
        <v>0</v>
      </c>
      <c r="AM27" s="37"/>
      <c r="AN27" s="37"/>
      <c r="AO27" s="36">
        <v>6</v>
      </c>
      <c r="AP27" s="37">
        <v>3</v>
      </c>
      <c r="AQ27" s="37"/>
      <c r="AR27" s="37"/>
      <c r="AU27" s="36">
        <v>7</v>
      </c>
      <c r="AV27" s="37">
        <v>0.8</v>
      </c>
      <c r="AW27" s="36"/>
      <c r="AX27" s="37"/>
      <c r="AY27" s="37"/>
      <c r="AZ27" s="37"/>
      <c r="BA27" s="36">
        <v>9</v>
      </c>
      <c r="BB27" s="37">
        <v>0.9</v>
      </c>
      <c r="BC27" s="37"/>
      <c r="BD27" s="37"/>
      <c r="BE27" s="37">
        <f t="shared" si="2"/>
        <v>4.7</v>
      </c>
      <c r="BF27" s="38">
        <f t="shared" si="3"/>
        <v>6.74468085106383</v>
      </c>
      <c r="BG27" s="35">
        <f t="shared" si="4"/>
        <v>31.700000000000003</v>
      </c>
    </row>
    <row r="28" spans="1:59" ht="12.75">
      <c r="A28" s="29">
        <v>4052</v>
      </c>
      <c r="B28" s="30" t="s">
        <v>249</v>
      </c>
      <c r="C28" s="31">
        <v>17.5</v>
      </c>
      <c r="D28" s="32"/>
      <c r="E28" s="32"/>
      <c r="F28" s="33">
        <v>17.5</v>
      </c>
      <c r="G28" s="33">
        <v>6.24</v>
      </c>
      <c r="H28" s="33"/>
      <c r="I28" s="34">
        <f t="shared" si="0"/>
        <v>6.24</v>
      </c>
      <c r="J28" s="35">
        <f t="shared" si="1"/>
        <v>0</v>
      </c>
      <c r="AC28" s="36">
        <v>5</v>
      </c>
      <c r="AD28" s="37">
        <v>1.2</v>
      </c>
      <c r="AM28" s="37"/>
      <c r="AN28" s="37"/>
      <c r="AO28" s="36">
        <v>6</v>
      </c>
      <c r="AP28" s="37">
        <v>16.15</v>
      </c>
      <c r="AQ28" s="37"/>
      <c r="AR28" s="37"/>
      <c r="AU28" s="36"/>
      <c r="AV28" s="37"/>
      <c r="AW28" s="36"/>
      <c r="AX28" s="37"/>
      <c r="AY28" s="36">
        <v>8</v>
      </c>
      <c r="AZ28" s="37">
        <v>0.15</v>
      </c>
      <c r="BA28" s="36"/>
      <c r="BB28" s="37"/>
      <c r="BC28" s="37"/>
      <c r="BD28" s="37"/>
      <c r="BE28" s="37">
        <f t="shared" si="2"/>
        <v>17.499999999999996</v>
      </c>
      <c r="BF28" s="38">
        <f t="shared" si="3"/>
        <v>5.948571428571429</v>
      </c>
      <c r="BG28" s="35">
        <f t="shared" si="4"/>
        <v>104.1</v>
      </c>
    </row>
    <row r="29" spans="1:59" ht="24.75">
      <c r="A29" s="29">
        <v>4053</v>
      </c>
      <c r="B29" s="30" t="s">
        <v>58</v>
      </c>
      <c r="C29" s="31">
        <v>5.3</v>
      </c>
      <c r="D29" s="32"/>
      <c r="E29" s="32"/>
      <c r="F29" s="33">
        <v>5.3</v>
      </c>
      <c r="G29" s="33">
        <v>2.65</v>
      </c>
      <c r="H29" s="33"/>
      <c r="I29" s="34">
        <f t="shared" si="0"/>
        <v>2.65</v>
      </c>
      <c r="J29" s="35">
        <f t="shared" si="1"/>
        <v>0</v>
      </c>
      <c r="AC29" s="36">
        <v>5</v>
      </c>
      <c r="AD29" s="37">
        <v>4.6</v>
      </c>
      <c r="AM29" s="37"/>
      <c r="AN29" s="37"/>
      <c r="AO29" s="36">
        <v>6</v>
      </c>
      <c r="AP29" s="37">
        <v>0.7</v>
      </c>
      <c r="AQ29" s="37"/>
      <c r="AR29" s="37"/>
      <c r="AS29" s="36"/>
      <c r="AT29" s="37"/>
      <c r="AU29" s="36"/>
      <c r="AV29" s="37"/>
      <c r="AW29" s="36"/>
      <c r="AX29" s="37"/>
      <c r="AY29" s="37"/>
      <c r="AZ29" s="37"/>
      <c r="BA29" s="36"/>
      <c r="BB29" s="37"/>
      <c r="BC29" s="37"/>
      <c r="BD29" s="37"/>
      <c r="BE29" s="37">
        <f t="shared" si="2"/>
        <v>5.3</v>
      </c>
      <c r="BF29" s="38">
        <f t="shared" si="3"/>
        <v>5.132075471698113</v>
      </c>
      <c r="BG29" s="35">
        <f t="shared" si="4"/>
        <v>27.2</v>
      </c>
    </row>
    <row r="30" spans="1:59" ht="12.75">
      <c r="A30" s="29">
        <v>4054</v>
      </c>
      <c r="B30" s="30" t="s">
        <v>59</v>
      </c>
      <c r="C30" s="31">
        <v>3.3</v>
      </c>
      <c r="D30" s="32"/>
      <c r="E30" s="32"/>
      <c r="F30" s="33">
        <v>3.3</v>
      </c>
      <c r="G30" s="33">
        <v>2</v>
      </c>
      <c r="H30" s="33"/>
      <c r="I30" s="34">
        <f t="shared" si="0"/>
        <v>2</v>
      </c>
      <c r="J30" s="35">
        <f t="shared" si="1"/>
        <v>0</v>
      </c>
      <c r="AC30" s="36">
        <v>5</v>
      </c>
      <c r="AD30" s="37">
        <v>3.3</v>
      </c>
      <c r="AM30" s="37"/>
      <c r="AN30" s="37"/>
      <c r="AO30" s="36"/>
      <c r="AP30" s="37"/>
      <c r="AQ30" s="37"/>
      <c r="AR30" s="37"/>
      <c r="AS30" s="36"/>
      <c r="AT30" s="37"/>
      <c r="AU30" s="36"/>
      <c r="AV30" s="37"/>
      <c r="AW30" s="36"/>
      <c r="AX30" s="37"/>
      <c r="AY30" s="37"/>
      <c r="AZ30" s="37"/>
      <c r="BA30" s="36"/>
      <c r="BB30" s="37"/>
      <c r="BC30" s="37"/>
      <c r="BD30" s="37"/>
      <c r="BE30" s="37">
        <f t="shared" si="2"/>
        <v>3.3</v>
      </c>
      <c r="BF30" s="38">
        <f t="shared" si="3"/>
        <v>5</v>
      </c>
      <c r="BG30" s="35">
        <f t="shared" si="4"/>
        <v>16.5</v>
      </c>
    </row>
    <row r="31" spans="1:59" ht="12.75">
      <c r="A31" s="29">
        <v>4055</v>
      </c>
      <c r="B31" s="30" t="s">
        <v>250</v>
      </c>
      <c r="C31" s="31">
        <v>8.2</v>
      </c>
      <c r="D31" s="32"/>
      <c r="E31" s="32"/>
      <c r="F31" s="33">
        <v>8.2</v>
      </c>
      <c r="G31" s="33">
        <v>2.29</v>
      </c>
      <c r="H31" s="33"/>
      <c r="I31" s="34">
        <f t="shared" si="0"/>
        <v>2.29</v>
      </c>
      <c r="J31" s="35">
        <f t="shared" si="1"/>
        <v>0</v>
      </c>
      <c r="M31" s="36">
        <v>3</v>
      </c>
      <c r="N31" s="37">
        <v>7.8</v>
      </c>
      <c r="AC31" s="36">
        <v>5</v>
      </c>
      <c r="AD31" s="37">
        <v>0.1</v>
      </c>
      <c r="AI31" s="36">
        <v>5.5</v>
      </c>
      <c r="AJ31" s="37">
        <v>0.30000000000000004</v>
      </c>
      <c r="AK31" s="37"/>
      <c r="AL31" s="37"/>
      <c r="AM31" s="37"/>
      <c r="AN31" s="37"/>
      <c r="AQ31" s="37"/>
      <c r="AR31" s="37"/>
      <c r="AU31" s="36"/>
      <c r="AV31" s="37"/>
      <c r="AW31" s="36"/>
      <c r="AX31" s="37"/>
      <c r="AY31" s="37"/>
      <c r="AZ31" s="37"/>
      <c r="BA31" s="36"/>
      <c r="BB31" s="37"/>
      <c r="BC31" s="37"/>
      <c r="BD31" s="37"/>
      <c r="BE31" s="37">
        <f t="shared" si="2"/>
        <v>8.2</v>
      </c>
      <c r="BF31" s="38">
        <f t="shared" si="3"/>
        <v>3.1158536585365852</v>
      </c>
      <c r="BG31" s="35">
        <f t="shared" si="4"/>
        <v>25.549999999999997</v>
      </c>
    </row>
    <row r="32" spans="1:59" ht="24.75">
      <c r="A32" s="29">
        <v>4056</v>
      </c>
      <c r="B32" s="30" t="s">
        <v>251</v>
      </c>
      <c r="C32" s="31">
        <v>17.2</v>
      </c>
      <c r="D32" s="32"/>
      <c r="E32" s="32"/>
      <c r="F32" s="33">
        <v>17.2</v>
      </c>
      <c r="G32" s="33">
        <v>0.2</v>
      </c>
      <c r="H32" s="33"/>
      <c r="I32" s="34">
        <f t="shared" si="0"/>
        <v>0.2</v>
      </c>
      <c r="J32" s="35">
        <f t="shared" si="1"/>
        <v>0</v>
      </c>
      <c r="M32" s="36">
        <v>3</v>
      </c>
      <c r="N32" s="37">
        <v>10.1</v>
      </c>
      <c r="AC32" s="36">
        <v>5</v>
      </c>
      <c r="AD32" s="37">
        <v>0.1</v>
      </c>
      <c r="AM32" s="37"/>
      <c r="AN32" s="37"/>
      <c r="AO32" s="36">
        <v>6</v>
      </c>
      <c r="AP32" s="37">
        <v>7</v>
      </c>
      <c r="AQ32" s="37"/>
      <c r="AR32" s="37"/>
      <c r="AU32" s="36"/>
      <c r="AV32" s="37"/>
      <c r="AW32" s="36"/>
      <c r="AX32" s="37"/>
      <c r="AY32" s="37"/>
      <c r="AZ32" s="37"/>
      <c r="BA32" s="36"/>
      <c r="BB32" s="37"/>
      <c r="BC32" s="37"/>
      <c r="BD32" s="37"/>
      <c r="BE32" s="37">
        <f t="shared" si="2"/>
        <v>17.2</v>
      </c>
      <c r="BF32" s="38">
        <f t="shared" si="3"/>
        <v>4.232558139534884</v>
      </c>
      <c r="BG32" s="35">
        <f t="shared" si="4"/>
        <v>72.8</v>
      </c>
    </row>
    <row r="33" spans="1:59" ht="24.75">
      <c r="A33" s="29">
        <v>4058</v>
      </c>
      <c r="B33" s="30" t="s">
        <v>62</v>
      </c>
      <c r="C33" s="31">
        <v>24.2</v>
      </c>
      <c r="D33" s="32"/>
      <c r="E33" s="32"/>
      <c r="F33" s="33">
        <v>24.2</v>
      </c>
      <c r="G33" s="33">
        <v>5.23</v>
      </c>
      <c r="H33" s="33"/>
      <c r="I33" s="34">
        <f t="shared" si="0"/>
        <v>5.23</v>
      </c>
      <c r="J33" s="35">
        <f t="shared" si="1"/>
        <v>0</v>
      </c>
      <c r="Q33" s="36">
        <v>4</v>
      </c>
      <c r="R33" s="37">
        <v>2.06</v>
      </c>
      <c r="S33" s="37"/>
      <c r="T33" s="37"/>
      <c r="U33" s="37"/>
      <c r="V33" s="37"/>
      <c r="W33" s="37"/>
      <c r="X33" s="37"/>
      <c r="AE33" s="36">
        <v>5.2</v>
      </c>
      <c r="AF33" s="37">
        <v>13.35</v>
      </c>
      <c r="AI33" s="36">
        <v>5.5</v>
      </c>
      <c r="AJ33" s="37">
        <v>8.69</v>
      </c>
      <c r="AK33" s="37"/>
      <c r="AL33" s="37"/>
      <c r="AM33" s="37"/>
      <c r="AN33" s="37"/>
      <c r="AO33" s="36">
        <v>6</v>
      </c>
      <c r="AP33" s="37">
        <v>0.1</v>
      </c>
      <c r="AQ33" s="37"/>
      <c r="AR33" s="37"/>
      <c r="AW33" s="36"/>
      <c r="AX33" s="37"/>
      <c r="AY33" s="37"/>
      <c r="AZ33" s="37"/>
      <c r="BA33" s="36"/>
      <c r="BB33" s="37"/>
      <c r="BC33" s="37"/>
      <c r="BD33" s="37"/>
      <c r="BE33" s="37">
        <f t="shared" si="2"/>
        <v>24.200000000000003</v>
      </c>
      <c r="BF33" s="38">
        <f t="shared" si="3"/>
        <v>5.20888429752066</v>
      </c>
      <c r="BG33" s="35">
        <f t="shared" si="4"/>
        <v>126.05499999999999</v>
      </c>
    </row>
    <row r="34" spans="1:59" ht="24.75">
      <c r="A34" s="29">
        <v>4059</v>
      </c>
      <c r="B34" s="30" t="s">
        <v>63</v>
      </c>
      <c r="C34" s="31">
        <v>6.7</v>
      </c>
      <c r="D34" s="32"/>
      <c r="E34" s="32"/>
      <c r="F34" s="33">
        <v>6.7</v>
      </c>
      <c r="G34" s="33">
        <v>3.85</v>
      </c>
      <c r="H34" s="33"/>
      <c r="I34" s="34">
        <f t="shared" si="0"/>
        <v>3.85</v>
      </c>
      <c r="J34" s="35">
        <f t="shared" si="1"/>
        <v>0</v>
      </c>
      <c r="AC34" s="36">
        <v>5</v>
      </c>
      <c r="AD34" s="37">
        <v>6.7</v>
      </c>
      <c r="AM34" s="37"/>
      <c r="AN34" s="37"/>
      <c r="AO34" s="36"/>
      <c r="AP34" s="37"/>
      <c r="AQ34" s="37"/>
      <c r="AR34" s="37"/>
      <c r="AS34" s="36"/>
      <c r="AT34" s="37"/>
      <c r="AU34" s="36"/>
      <c r="AV34" s="37"/>
      <c r="AW34" s="36"/>
      <c r="AX34" s="37"/>
      <c r="AY34" s="37"/>
      <c r="AZ34" s="37"/>
      <c r="BA34" s="36"/>
      <c r="BB34" s="37"/>
      <c r="BC34" s="37"/>
      <c r="BD34" s="37"/>
      <c r="BE34" s="37">
        <f t="shared" si="2"/>
        <v>6.7</v>
      </c>
      <c r="BF34" s="38">
        <f t="shared" si="3"/>
        <v>5</v>
      </c>
      <c r="BG34" s="35">
        <f t="shared" si="4"/>
        <v>33.5</v>
      </c>
    </row>
    <row r="35" spans="1:59" ht="12.75">
      <c r="A35" s="29">
        <v>4060</v>
      </c>
      <c r="B35" s="30" t="s">
        <v>64</v>
      </c>
      <c r="C35" s="31">
        <v>6.7</v>
      </c>
      <c r="D35" s="32"/>
      <c r="E35" s="32"/>
      <c r="F35" s="33">
        <v>6.7</v>
      </c>
      <c r="G35" s="33">
        <v>3.29</v>
      </c>
      <c r="H35" s="33"/>
      <c r="I35" s="34">
        <f t="shared" si="0"/>
        <v>3.29</v>
      </c>
      <c r="J35" s="35">
        <f t="shared" si="1"/>
        <v>0</v>
      </c>
      <c r="AC35" s="36">
        <v>5</v>
      </c>
      <c r="AD35" s="37">
        <v>6.7</v>
      </c>
      <c r="AM35" s="37"/>
      <c r="AN35" s="37"/>
      <c r="AO35" s="36"/>
      <c r="AP35" s="37"/>
      <c r="AQ35" s="37"/>
      <c r="AR35" s="37"/>
      <c r="AS35" s="36"/>
      <c r="AT35" s="37"/>
      <c r="AU35" s="36"/>
      <c r="AV35" s="37"/>
      <c r="AW35" s="36"/>
      <c r="AX35" s="37"/>
      <c r="AY35" s="37"/>
      <c r="AZ35" s="37"/>
      <c r="BA35" s="36"/>
      <c r="BB35" s="37"/>
      <c r="BC35" s="37"/>
      <c r="BD35" s="37"/>
      <c r="BE35" s="37">
        <f t="shared" si="2"/>
        <v>6.7</v>
      </c>
      <c r="BF35" s="38">
        <f t="shared" si="3"/>
        <v>5</v>
      </c>
      <c r="BG35" s="35">
        <f t="shared" si="4"/>
        <v>33.5</v>
      </c>
    </row>
    <row r="36" spans="1:59" ht="12.75">
      <c r="A36" s="29">
        <v>4061</v>
      </c>
      <c r="B36" s="30" t="s">
        <v>65</v>
      </c>
      <c r="C36" s="31">
        <v>7.4</v>
      </c>
      <c r="D36" s="32"/>
      <c r="E36" s="32"/>
      <c r="F36" s="33">
        <v>7.4</v>
      </c>
      <c r="G36" s="33">
        <v>3.95</v>
      </c>
      <c r="H36" s="33"/>
      <c r="I36" s="34">
        <f t="shared" si="0"/>
        <v>3.95</v>
      </c>
      <c r="J36" s="35">
        <f t="shared" si="1"/>
        <v>0</v>
      </c>
      <c r="AC36" s="36">
        <v>5</v>
      </c>
      <c r="AD36" s="37">
        <v>7.4</v>
      </c>
      <c r="AM36" s="37"/>
      <c r="AN36" s="37"/>
      <c r="AO36" s="36"/>
      <c r="AP36" s="37"/>
      <c r="AQ36" s="37"/>
      <c r="AR36" s="37"/>
      <c r="AS36" s="36"/>
      <c r="AT36" s="37"/>
      <c r="AU36" s="36"/>
      <c r="AV36" s="37"/>
      <c r="AW36" s="36"/>
      <c r="AX36" s="37"/>
      <c r="AY36" s="37"/>
      <c r="AZ36" s="37"/>
      <c r="BA36" s="36"/>
      <c r="BB36" s="37"/>
      <c r="BC36" s="37"/>
      <c r="BD36" s="37"/>
      <c r="BE36" s="37">
        <f t="shared" si="2"/>
        <v>7.4</v>
      </c>
      <c r="BF36" s="38">
        <f t="shared" si="3"/>
        <v>5</v>
      </c>
      <c r="BG36" s="35">
        <f t="shared" si="4"/>
        <v>37</v>
      </c>
    </row>
    <row r="37" spans="1:59" ht="12.75">
      <c r="A37" s="29">
        <v>4064</v>
      </c>
      <c r="B37" s="30" t="s">
        <v>66</v>
      </c>
      <c r="C37" s="31">
        <v>0.21</v>
      </c>
      <c r="D37" s="32"/>
      <c r="E37" s="32"/>
      <c r="F37" s="33">
        <v>0.21</v>
      </c>
      <c r="G37" s="33">
        <v>0</v>
      </c>
      <c r="H37" s="33"/>
      <c r="I37" s="34">
        <f t="shared" si="0"/>
        <v>0</v>
      </c>
      <c r="J37" s="35">
        <f t="shared" si="1"/>
        <v>0</v>
      </c>
      <c r="AI37" s="36">
        <v>5.5</v>
      </c>
      <c r="AJ37" s="37">
        <v>0.21</v>
      </c>
      <c r="AK37" s="37"/>
      <c r="AL37" s="37"/>
      <c r="AM37" s="37"/>
      <c r="AN37" s="37"/>
      <c r="AO37" s="36"/>
      <c r="AP37" s="37"/>
      <c r="AQ37" s="37"/>
      <c r="AR37" s="37"/>
      <c r="AS37" s="36"/>
      <c r="AT37" s="37"/>
      <c r="AU37" s="36"/>
      <c r="AV37" s="37"/>
      <c r="AW37" s="36"/>
      <c r="AX37" s="37"/>
      <c r="AY37" s="37"/>
      <c r="AZ37" s="37"/>
      <c r="BA37" s="36"/>
      <c r="BB37" s="37"/>
      <c r="BC37" s="37"/>
      <c r="BD37" s="37"/>
      <c r="BE37" s="37">
        <f t="shared" si="2"/>
        <v>0.21</v>
      </c>
      <c r="BF37" s="38">
        <f t="shared" si="3"/>
        <v>5.5</v>
      </c>
      <c r="BG37" s="35">
        <f t="shared" si="4"/>
        <v>1.155</v>
      </c>
    </row>
    <row r="38" spans="1:59" ht="12.75">
      <c r="A38" s="29">
        <v>4065</v>
      </c>
      <c r="B38" s="30" t="s">
        <v>67</v>
      </c>
      <c r="C38" s="31">
        <v>2.34</v>
      </c>
      <c r="D38" s="32"/>
      <c r="E38" s="32"/>
      <c r="F38" s="33">
        <v>2.34</v>
      </c>
      <c r="G38" s="33">
        <v>0.5</v>
      </c>
      <c r="H38" s="33"/>
      <c r="I38" s="34">
        <f t="shared" si="0"/>
        <v>0.5</v>
      </c>
      <c r="J38" s="35">
        <f t="shared" si="1"/>
        <v>0</v>
      </c>
      <c r="AI38" s="36">
        <v>5.5</v>
      </c>
      <c r="AJ38" s="37">
        <v>2.34</v>
      </c>
      <c r="AK38" s="37"/>
      <c r="AL38" s="37"/>
      <c r="AM38" s="37"/>
      <c r="AN38" s="37"/>
      <c r="AO38" s="36"/>
      <c r="AP38" s="37"/>
      <c r="AQ38" s="37"/>
      <c r="AR38" s="37"/>
      <c r="AS38" s="36"/>
      <c r="AT38" s="37"/>
      <c r="AU38" s="36"/>
      <c r="AV38" s="37"/>
      <c r="AW38" s="36"/>
      <c r="AX38" s="37"/>
      <c r="AY38" s="37"/>
      <c r="AZ38" s="37"/>
      <c r="BA38" s="36"/>
      <c r="BB38" s="37"/>
      <c r="BC38" s="37"/>
      <c r="BD38" s="37"/>
      <c r="BE38" s="37">
        <f t="shared" si="2"/>
        <v>2.34</v>
      </c>
      <c r="BF38" s="38">
        <f t="shared" si="3"/>
        <v>5.5</v>
      </c>
      <c r="BG38" s="35">
        <f t="shared" si="4"/>
        <v>12.87</v>
      </c>
    </row>
    <row r="39" spans="1:59" ht="12.75">
      <c r="A39" s="29">
        <v>4066</v>
      </c>
      <c r="B39" s="30" t="s">
        <v>68</v>
      </c>
      <c r="C39" s="31">
        <v>6.1</v>
      </c>
      <c r="D39" s="32"/>
      <c r="E39" s="32"/>
      <c r="F39" s="33">
        <v>6.1</v>
      </c>
      <c r="G39" s="33">
        <v>2.72</v>
      </c>
      <c r="H39" s="33"/>
      <c r="I39" s="34">
        <f t="shared" si="0"/>
        <v>2.72</v>
      </c>
      <c r="J39" s="35">
        <f t="shared" si="1"/>
        <v>0</v>
      </c>
      <c r="Q39" s="36">
        <v>4</v>
      </c>
      <c r="R39" s="37">
        <v>5.35</v>
      </c>
      <c r="S39" s="37"/>
      <c r="T39" s="37"/>
      <c r="U39" s="37"/>
      <c r="V39" s="37"/>
      <c r="W39" s="37"/>
      <c r="X39" s="37"/>
      <c r="AI39" s="36">
        <v>5.5</v>
      </c>
      <c r="AJ39" s="37">
        <v>0.75</v>
      </c>
      <c r="AK39" s="37"/>
      <c r="AL39" s="37"/>
      <c r="AM39" s="37"/>
      <c r="AN39" s="37"/>
      <c r="AQ39" s="37"/>
      <c r="AR39" s="37"/>
      <c r="AS39" s="36"/>
      <c r="AT39" s="37"/>
      <c r="AU39" s="36"/>
      <c r="AV39" s="37"/>
      <c r="AW39" s="36"/>
      <c r="AX39" s="37"/>
      <c r="AY39" s="37"/>
      <c r="AZ39" s="37"/>
      <c r="BA39" s="36"/>
      <c r="BB39" s="37"/>
      <c r="BC39" s="37"/>
      <c r="BD39" s="37"/>
      <c r="BE39" s="37">
        <f t="shared" si="2"/>
        <v>6.1</v>
      </c>
      <c r="BF39" s="38">
        <f t="shared" si="3"/>
        <v>4.184426229508197</v>
      </c>
      <c r="BG39" s="35">
        <f t="shared" si="4"/>
        <v>25.525</v>
      </c>
    </row>
    <row r="40" spans="1:59" ht="24.75">
      <c r="A40" s="29">
        <v>4067</v>
      </c>
      <c r="B40" s="30" t="s">
        <v>69</v>
      </c>
      <c r="C40" s="31">
        <v>10</v>
      </c>
      <c r="D40" s="32"/>
      <c r="E40" s="32"/>
      <c r="F40" s="33">
        <v>10</v>
      </c>
      <c r="G40" s="33">
        <v>4.55</v>
      </c>
      <c r="H40" s="33"/>
      <c r="I40" s="34">
        <f aca="true" t="shared" si="5" ref="I40:I71">G40+H40</f>
        <v>4.55</v>
      </c>
      <c r="J40" s="35">
        <f aca="true" t="shared" si="6" ref="J40:J71">C40-BE40</f>
        <v>0</v>
      </c>
      <c r="AM40" s="37"/>
      <c r="AN40" s="37"/>
      <c r="AO40" s="36">
        <v>6</v>
      </c>
      <c r="AP40" s="37">
        <v>10</v>
      </c>
      <c r="AQ40" s="37"/>
      <c r="AR40" s="37"/>
      <c r="AS40" s="36"/>
      <c r="AT40" s="37"/>
      <c r="AU40" s="36"/>
      <c r="AV40" s="37"/>
      <c r="AW40" s="36"/>
      <c r="AX40" s="37"/>
      <c r="AY40" s="37"/>
      <c r="AZ40" s="37"/>
      <c r="BA40" s="36"/>
      <c r="BB40" s="37"/>
      <c r="BC40" s="37"/>
      <c r="BD40" s="37"/>
      <c r="BE40" s="37">
        <f aca="true" t="shared" si="7" ref="BE40:BE71">L40+N40+P40+R40+T40+V40+X40+Z40+AB40+AD40+AF40+AH40+AJ40+AL40+AN40+AP40+AR40+AT40+AV40+AX40+AZ40+BB40+BD40</f>
        <v>10</v>
      </c>
      <c r="BF40" s="38">
        <f aca="true" t="shared" si="8" ref="BF40:BF71">(K40*L40+M40*N40+O40*P40+Q40*R40+S40*T40+U40*V40+W40*X40+Y40*Z40+AA40*AB40+AC40*AD40+AE40*AF40+AG40*AH40+AI40*AJ40+AK40*AL40+AM40*AN40+AO40*AP40+AQ40*AR40+AS40*AT40+AU40*AV40+AW40*AX40+AY40*AZ40+BA40*BB40+BC40*BD40)/BE40</f>
        <v>6</v>
      </c>
      <c r="BG40" s="35">
        <f aca="true" t="shared" si="9" ref="BG40:BG71">BF40*BE40</f>
        <v>60</v>
      </c>
    </row>
    <row r="41" spans="1:59" ht="12.75">
      <c r="A41" s="29">
        <v>4073</v>
      </c>
      <c r="B41" s="30" t="s">
        <v>70</v>
      </c>
      <c r="C41" s="31">
        <v>3.5</v>
      </c>
      <c r="D41" s="32"/>
      <c r="E41" s="32"/>
      <c r="F41" s="33">
        <v>3.5</v>
      </c>
      <c r="G41" s="33">
        <v>1.8</v>
      </c>
      <c r="H41" s="33"/>
      <c r="I41" s="34">
        <f t="shared" si="5"/>
        <v>1.8</v>
      </c>
      <c r="J41" s="35">
        <f t="shared" si="6"/>
        <v>0</v>
      </c>
      <c r="AC41" s="36">
        <v>5</v>
      </c>
      <c r="AD41" s="37">
        <v>3.5</v>
      </c>
      <c r="AM41" s="37"/>
      <c r="AN41" s="37"/>
      <c r="AO41" s="36"/>
      <c r="AP41" s="37"/>
      <c r="AQ41" s="37"/>
      <c r="AR41" s="37"/>
      <c r="AS41" s="36"/>
      <c r="AT41" s="37"/>
      <c r="AU41" s="36"/>
      <c r="AV41" s="37"/>
      <c r="AW41" s="36"/>
      <c r="AX41" s="37"/>
      <c r="AY41" s="37"/>
      <c r="AZ41" s="37"/>
      <c r="BA41" s="36"/>
      <c r="BB41" s="37"/>
      <c r="BC41" s="37"/>
      <c r="BD41" s="37"/>
      <c r="BE41" s="37">
        <f t="shared" si="7"/>
        <v>3.5</v>
      </c>
      <c r="BF41" s="38">
        <f t="shared" si="8"/>
        <v>5</v>
      </c>
      <c r="BG41" s="35">
        <f t="shared" si="9"/>
        <v>17.5</v>
      </c>
    </row>
    <row r="42" spans="1:59" ht="12.75">
      <c r="A42" s="29">
        <v>4074</v>
      </c>
      <c r="B42" s="30" t="s">
        <v>71</v>
      </c>
      <c r="C42" s="31">
        <v>4.6</v>
      </c>
      <c r="D42" s="32"/>
      <c r="E42" s="32"/>
      <c r="F42" s="33">
        <v>4.6</v>
      </c>
      <c r="G42" s="33">
        <v>2.33</v>
      </c>
      <c r="H42" s="33"/>
      <c r="I42" s="34">
        <f t="shared" si="5"/>
        <v>2.33</v>
      </c>
      <c r="J42" s="35">
        <f t="shared" si="6"/>
        <v>0</v>
      </c>
      <c r="Q42" s="36">
        <v>4</v>
      </c>
      <c r="R42" s="37">
        <v>0.885</v>
      </c>
      <c r="S42" s="37"/>
      <c r="T42" s="37"/>
      <c r="U42" s="37"/>
      <c r="V42" s="37"/>
      <c r="W42" s="37"/>
      <c r="X42" s="37"/>
      <c r="AC42" s="36">
        <v>5</v>
      </c>
      <c r="AD42" s="37">
        <v>0.17500000000000002</v>
      </c>
      <c r="AI42" s="36">
        <v>5.5</v>
      </c>
      <c r="AJ42" s="37">
        <v>3.54</v>
      </c>
      <c r="AK42" s="37"/>
      <c r="AL42" s="37"/>
      <c r="AM42" s="37"/>
      <c r="AN42" s="37"/>
      <c r="AQ42" s="37"/>
      <c r="AR42" s="37"/>
      <c r="AU42" s="36"/>
      <c r="AV42" s="37"/>
      <c r="AW42" s="36"/>
      <c r="AX42" s="37"/>
      <c r="AY42" s="37"/>
      <c r="AZ42" s="37"/>
      <c r="BA42" s="36"/>
      <c r="BB42" s="37"/>
      <c r="BC42" s="37"/>
      <c r="BD42" s="37"/>
      <c r="BE42" s="37">
        <f t="shared" si="7"/>
        <v>4.6</v>
      </c>
      <c r="BF42" s="38">
        <f t="shared" si="8"/>
        <v>5.192391304347826</v>
      </c>
      <c r="BG42" s="35">
        <f t="shared" si="9"/>
        <v>23.884999999999998</v>
      </c>
    </row>
    <row r="43" spans="1:59" ht="24.75">
      <c r="A43" s="29">
        <v>4075</v>
      </c>
      <c r="B43" s="30" t="s">
        <v>252</v>
      </c>
      <c r="C43" s="31">
        <v>9.3</v>
      </c>
      <c r="D43" s="32"/>
      <c r="E43" s="32"/>
      <c r="F43" s="33">
        <v>9.3</v>
      </c>
      <c r="G43" s="33">
        <v>9.3</v>
      </c>
      <c r="H43" s="33"/>
      <c r="I43" s="34">
        <f t="shared" si="5"/>
        <v>9.3</v>
      </c>
      <c r="J43" s="35">
        <f t="shared" si="6"/>
        <v>0</v>
      </c>
      <c r="AI43" s="36">
        <v>5.5</v>
      </c>
      <c r="AJ43" s="37">
        <v>2</v>
      </c>
      <c r="AK43" s="37"/>
      <c r="AL43" s="37"/>
      <c r="AM43" s="37"/>
      <c r="AN43" s="37"/>
      <c r="AO43" s="36">
        <v>6</v>
      </c>
      <c r="AP43" s="37">
        <v>7.3</v>
      </c>
      <c r="AQ43" s="37"/>
      <c r="AR43" s="37"/>
      <c r="AS43" s="36"/>
      <c r="AT43" s="37"/>
      <c r="AU43" s="36"/>
      <c r="AV43" s="37"/>
      <c r="AW43" s="36"/>
      <c r="AX43" s="37"/>
      <c r="AY43" s="37"/>
      <c r="AZ43" s="37"/>
      <c r="BA43" s="36"/>
      <c r="BB43" s="37"/>
      <c r="BC43" s="37"/>
      <c r="BD43" s="37"/>
      <c r="BE43" s="37">
        <f t="shared" si="7"/>
        <v>9.3</v>
      </c>
      <c r="BF43" s="38">
        <f t="shared" si="8"/>
        <v>5.892473118279569</v>
      </c>
      <c r="BG43" s="35">
        <f t="shared" si="9"/>
        <v>54.8</v>
      </c>
    </row>
    <row r="44" spans="1:59" ht="12.75">
      <c r="A44" s="29">
        <v>4076</v>
      </c>
      <c r="B44" s="30" t="s">
        <v>253</v>
      </c>
      <c r="C44" s="31">
        <v>3.1</v>
      </c>
      <c r="D44" s="32"/>
      <c r="E44" s="32"/>
      <c r="F44" s="33">
        <v>3.1</v>
      </c>
      <c r="G44" s="33">
        <v>3.1</v>
      </c>
      <c r="H44" s="33"/>
      <c r="I44" s="34">
        <f t="shared" si="5"/>
        <v>3.1</v>
      </c>
      <c r="J44" s="35">
        <f t="shared" si="6"/>
        <v>0</v>
      </c>
      <c r="AC44" s="36">
        <v>5</v>
      </c>
      <c r="AD44" s="37">
        <v>3.1</v>
      </c>
      <c r="AM44" s="37"/>
      <c r="AN44" s="37"/>
      <c r="AO44" s="36"/>
      <c r="AP44" s="37"/>
      <c r="AQ44" s="37"/>
      <c r="AR44" s="37"/>
      <c r="AS44" s="36"/>
      <c r="AT44" s="37"/>
      <c r="AU44" s="36"/>
      <c r="AV44" s="37"/>
      <c r="AW44" s="36"/>
      <c r="AX44" s="37"/>
      <c r="AY44" s="37"/>
      <c r="AZ44" s="37"/>
      <c r="BA44" s="36"/>
      <c r="BB44" s="37"/>
      <c r="BC44" s="37"/>
      <c r="BD44" s="37"/>
      <c r="BE44" s="37">
        <f t="shared" si="7"/>
        <v>3.1</v>
      </c>
      <c r="BF44" s="38">
        <f t="shared" si="8"/>
        <v>5</v>
      </c>
      <c r="BG44" s="35">
        <f t="shared" si="9"/>
        <v>15.5</v>
      </c>
    </row>
    <row r="45" spans="1:59" ht="12.75">
      <c r="A45" s="29">
        <v>4077</v>
      </c>
      <c r="B45" s="4" t="s">
        <v>254</v>
      </c>
      <c r="C45" s="31">
        <f>3.4+0.56+0.7+0.64</f>
        <v>5.3</v>
      </c>
      <c r="D45" s="32"/>
      <c r="E45" s="32"/>
      <c r="F45" s="33">
        <v>5.3</v>
      </c>
      <c r="G45" s="33">
        <v>2.82</v>
      </c>
      <c r="H45" s="41"/>
      <c r="I45" s="34">
        <f t="shared" si="5"/>
        <v>2.82</v>
      </c>
      <c r="J45" s="35">
        <f t="shared" si="6"/>
        <v>0</v>
      </c>
      <c r="AC45" s="36">
        <v>5</v>
      </c>
      <c r="AD45" s="37">
        <v>0.44</v>
      </c>
      <c r="AI45" s="36">
        <v>5.5</v>
      </c>
      <c r="AJ45" s="37">
        <v>3.52</v>
      </c>
      <c r="AK45" s="37"/>
      <c r="AL45" s="37"/>
      <c r="AM45" s="37"/>
      <c r="AN45" s="37"/>
      <c r="AO45" s="36">
        <v>6</v>
      </c>
      <c r="AP45" s="37">
        <v>1.34</v>
      </c>
      <c r="AQ45" s="37"/>
      <c r="AR45" s="37"/>
      <c r="AU45" s="36"/>
      <c r="AV45" s="37"/>
      <c r="AW45" s="36"/>
      <c r="AX45" s="37"/>
      <c r="AY45" s="37"/>
      <c r="AZ45" s="37"/>
      <c r="BA45" s="36"/>
      <c r="BB45" s="37"/>
      <c r="BC45" s="37"/>
      <c r="BD45" s="37"/>
      <c r="BE45" s="37">
        <f t="shared" si="7"/>
        <v>5.3</v>
      </c>
      <c r="BF45" s="38">
        <f t="shared" si="8"/>
        <v>5.584905660377359</v>
      </c>
      <c r="BG45" s="35">
        <f t="shared" si="9"/>
        <v>29.6</v>
      </c>
    </row>
    <row r="46" spans="1:59" ht="12.75">
      <c r="A46" s="29">
        <v>4078</v>
      </c>
      <c r="B46" s="30" t="s">
        <v>255</v>
      </c>
      <c r="C46" s="31">
        <v>6.1</v>
      </c>
      <c r="D46" s="32"/>
      <c r="E46" s="32"/>
      <c r="F46" s="33">
        <v>6.1</v>
      </c>
      <c r="G46" s="33">
        <v>3.33</v>
      </c>
      <c r="H46" s="33"/>
      <c r="I46" s="34">
        <f t="shared" si="5"/>
        <v>3.33</v>
      </c>
      <c r="J46" s="35">
        <f t="shared" si="6"/>
        <v>0</v>
      </c>
      <c r="AI46" s="36">
        <v>5.5</v>
      </c>
      <c r="AJ46" s="37">
        <v>6.1</v>
      </c>
      <c r="AK46" s="37"/>
      <c r="AL46" s="37"/>
      <c r="AM46" s="37"/>
      <c r="AN46" s="37"/>
      <c r="AO46" s="36"/>
      <c r="AP46" s="37"/>
      <c r="AQ46" s="37"/>
      <c r="AR46" s="37"/>
      <c r="AS46" s="36"/>
      <c r="AT46" s="37"/>
      <c r="AU46" s="36"/>
      <c r="AV46" s="37"/>
      <c r="AW46" s="36"/>
      <c r="AX46" s="37"/>
      <c r="AY46" s="37"/>
      <c r="AZ46" s="37"/>
      <c r="BA46" s="36"/>
      <c r="BB46" s="37"/>
      <c r="BC46" s="37"/>
      <c r="BD46" s="37"/>
      <c r="BE46" s="37">
        <f t="shared" si="7"/>
        <v>6.1</v>
      </c>
      <c r="BF46" s="38">
        <f t="shared" si="8"/>
        <v>5.5</v>
      </c>
      <c r="BG46" s="35">
        <f t="shared" si="9"/>
        <v>33.55</v>
      </c>
    </row>
    <row r="47" spans="1:59" ht="12.75">
      <c r="A47" s="29">
        <v>4079</v>
      </c>
      <c r="B47" s="30" t="s">
        <v>76</v>
      </c>
      <c r="C47" s="31">
        <v>3.9</v>
      </c>
      <c r="D47" s="32"/>
      <c r="E47" s="32"/>
      <c r="F47" s="33">
        <v>3.9</v>
      </c>
      <c r="G47" s="33">
        <v>0.53</v>
      </c>
      <c r="H47" s="33"/>
      <c r="I47" s="34">
        <f t="shared" si="5"/>
        <v>0.53</v>
      </c>
      <c r="J47" s="35">
        <f t="shared" si="6"/>
        <v>0</v>
      </c>
      <c r="AC47" s="36">
        <v>5</v>
      </c>
      <c r="AD47" s="37">
        <v>0.39</v>
      </c>
      <c r="AM47" s="37"/>
      <c r="AN47" s="37"/>
      <c r="AO47" s="36">
        <v>6</v>
      </c>
      <c r="AP47" s="37">
        <v>3.51</v>
      </c>
      <c r="AQ47" s="37"/>
      <c r="AR47" s="37"/>
      <c r="AS47" s="36"/>
      <c r="AT47" s="37"/>
      <c r="AU47" s="36"/>
      <c r="AV47" s="37"/>
      <c r="AW47" s="36"/>
      <c r="AX47" s="37"/>
      <c r="AY47" s="37"/>
      <c r="AZ47" s="37"/>
      <c r="BA47" s="36"/>
      <c r="BB47" s="37"/>
      <c r="BC47" s="37"/>
      <c r="BD47" s="37"/>
      <c r="BE47" s="37">
        <f t="shared" si="7"/>
        <v>3.9</v>
      </c>
      <c r="BF47" s="38">
        <f t="shared" si="8"/>
        <v>5.8999999999999995</v>
      </c>
      <c r="BG47" s="35">
        <f t="shared" si="9"/>
        <v>23.009999999999998</v>
      </c>
    </row>
    <row r="48" spans="1:59" ht="12.75">
      <c r="A48" s="29">
        <v>4080</v>
      </c>
      <c r="B48" s="30" t="s">
        <v>77</v>
      </c>
      <c r="C48" s="31">
        <v>10.4</v>
      </c>
      <c r="D48" s="32"/>
      <c r="E48" s="32"/>
      <c r="F48" s="33">
        <v>10.4</v>
      </c>
      <c r="G48" s="33">
        <v>4.5</v>
      </c>
      <c r="H48" s="33"/>
      <c r="I48" s="34">
        <f t="shared" si="5"/>
        <v>4.5</v>
      </c>
      <c r="J48" s="35">
        <f t="shared" si="6"/>
        <v>0</v>
      </c>
      <c r="AC48" s="36">
        <v>5</v>
      </c>
      <c r="AD48" s="37">
        <v>0.44</v>
      </c>
      <c r="AI48" s="36">
        <v>5.5</v>
      </c>
      <c r="AJ48" s="37">
        <v>2.515</v>
      </c>
      <c r="AK48" s="37"/>
      <c r="AL48" s="37"/>
      <c r="AM48" s="37"/>
      <c r="AN48" s="37"/>
      <c r="AO48" s="36">
        <v>6</v>
      </c>
      <c r="AP48" s="37">
        <v>7.445</v>
      </c>
      <c r="AQ48" s="37"/>
      <c r="AR48" s="37"/>
      <c r="AU48" s="36"/>
      <c r="AV48" s="37"/>
      <c r="AW48" s="36"/>
      <c r="AX48" s="37"/>
      <c r="AY48" s="37"/>
      <c r="AZ48" s="37"/>
      <c r="BA48" s="36"/>
      <c r="BB48" s="37"/>
      <c r="BC48" s="37"/>
      <c r="BD48" s="37"/>
      <c r="BE48" s="37">
        <f t="shared" si="7"/>
        <v>10.4</v>
      </c>
      <c r="BF48" s="38">
        <f t="shared" si="8"/>
        <v>5.836778846153846</v>
      </c>
      <c r="BG48" s="35">
        <f t="shared" si="9"/>
        <v>60.7025</v>
      </c>
    </row>
    <row r="49" spans="1:59" ht="12.75">
      <c r="A49" s="29">
        <v>4081</v>
      </c>
      <c r="B49" s="30" t="s">
        <v>78</v>
      </c>
      <c r="C49" s="31">
        <v>1.5</v>
      </c>
      <c r="D49" s="32"/>
      <c r="E49" s="32"/>
      <c r="F49" s="33">
        <v>1.5</v>
      </c>
      <c r="G49" s="33">
        <v>0.63</v>
      </c>
      <c r="H49" s="33"/>
      <c r="I49" s="34">
        <f t="shared" si="5"/>
        <v>0.63</v>
      </c>
      <c r="J49" s="35">
        <f t="shared" si="6"/>
        <v>0</v>
      </c>
      <c r="AC49" s="36">
        <v>5</v>
      </c>
      <c r="AD49" s="37">
        <v>1.5</v>
      </c>
      <c r="AM49" s="37"/>
      <c r="AN49" s="37"/>
      <c r="AO49" s="36"/>
      <c r="AP49" s="37"/>
      <c r="AQ49" s="37"/>
      <c r="AR49" s="37"/>
      <c r="AS49" s="36"/>
      <c r="AT49" s="37"/>
      <c r="AU49" s="36"/>
      <c r="AV49" s="37"/>
      <c r="AW49" s="36"/>
      <c r="AX49" s="37"/>
      <c r="AY49" s="37"/>
      <c r="AZ49" s="37"/>
      <c r="BA49" s="36"/>
      <c r="BB49" s="37"/>
      <c r="BC49" s="37"/>
      <c r="BD49" s="37"/>
      <c r="BE49" s="37">
        <f t="shared" si="7"/>
        <v>1.5</v>
      </c>
      <c r="BF49" s="38">
        <f t="shared" si="8"/>
        <v>5</v>
      </c>
      <c r="BG49" s="35">
        <f t="shared" si="9"/>
        <v>7.5</v>
      </c>
    </row>
    <row r="50" spans="1:59" ht="12.75">
      <c r="A50" s="29">
        <v>4085</v>
      </c>
      <c r="B50" s="30" t="s">
        <v>79</v>
      </c>
      <c r="C50" s="31">
        <v>7.2</v>
      </c>
      <c r="D50" s="32"/>
      <c r="E50" s="32"/>
      <c r="F50" s="33">
        <v>7.2</v>
      </c>
      <c r="G50" s="33">
        <v>6.3</v>
      </c>
      <c r="H50" s="33"/>
      <c r="I50" s="34">
        <f t="shared" si="5"/>
        <v>6.3</v>
      </c>
      <c r="J50" s="35">
        <f t="shared" si="6"/>
        <v>0</v>
      </c>
      <c r="AM50" s="37"/>
      <c r="AN50" s="37"/>
      <c r="AO50" s="36"/>
      <c r="AP50" s="37"/>
      <c r="AQ50" s="37"/>
      <c r="AR50" s="37"/>
      <c r="AS50" s="36"/>
      <c r="AT50" s="37"/>
      <c r="AU50" s="36">
        <v>7</v>
      </c>
      <c r="AV50" s="37">
        <v>7.2</v>
      </c>
      <c r="AW50" s="36"/>
      <c r="AX50" s="37"/>
      <c r="AY50" s="37"/>
      <c r="AZ50" s="37"/>
      <c r="BA50" s="36"/>
      <c r="BB50" s="37"/>
      <c r="BC50" s="37"/>
      <c r="BD50" s="37"/>
      <c r="BE50" s="37">
        <f t="shared" si="7"/>
        <v>7.2</v>
      </c>
      <c r="BF50" s="38">
        <f t="shared" si="8"/>
        <v>7</v>
      </c>
      <c r="BG50" s="35">
        <f t="shared" si="9"/>
        <v>50.4</v>
      </c>
    </row>
    <row r="51" spans="1:59" ht="12.75">
      <c r="A51" s="29">
        <v>4089</v>
      </c>
      <c r="B51" s="30" t="s">
        <v>80</v>
      </c>
      <c r="C51" s="31">
        <v>8.5</v>
      </c>
      <c r="D51" s="32"/>
      <c r="E51" s="32"/>
      <c r="F51" s="33">
        <v>8.5</v>
      </c>
      <c r="G51" s="33">
        <v>3.4</v>
      </c>
      <c r="H51" s="33"/>
      <c r="I51" s="34">
        <f t="shared" si="5"/>
        <v>3.4</v>
      </c>
      <c r="J51" s="35">
        <f t="shared" si="6"/>
        <v>0</v>
      </c>
      <c r="Q51" s="36">
        <v>4</v>
      </c>
      <c r="R51" s="37">
        <v>0.215</v>
      </c>
      <c r="S51" s="37"/>
      <c r="T51" s="37"/>
      <c r="U51" s="37"/>
      <c r="V51" s="37"/>
      <c r="W51" s="37"/>
      <c r="X51" s="37"/>
      <c r="AI51" s="36">
        <v>5.5</v>
      </c>
      <c r="AJ51" s="37">
        <v>8.285</v>
      </c>
      <c r="AK51" s="37"/>
      <c r="AL51" s="37"/>
      <c r="AM51" s="37"/>
      <c r="AN51" s="37"/>
      <c r="AQ51" s="37"/>
      <c r="AR51" s="37"/>
      <c r="AS51" s="36"/>
      <c r="AT51" s="37"/>
      <c r="AU51" s="36"/>
      <c r="AV51" s="37"/>
      <c r="AW51" s="36"/>
      <c r="AX51" s="37"/>
      <c r="AY51" s="37"/>
      <c r="AZ51" s="37"/>
      <c r="BA51" s="36"/>
      <c r="BB51" s="37"/>
      <c r="BC51" s="37"/>
      <c r="BD51" s="37"/>
      <c r="BE51" s="37">
        <f t="shared" si="7"/>
        <v>8.5</v>
      </c>
      <c r="BF51" s="38">
        <f t="shared" si="8"/>
        <v>5.462058823529412</v>
      </c>
      <c r="BG51" s="35">
        <f t="shared" si="9"/>
        <v>46.4275</v>
      </c>
    </row>
    <row r="52" spans="1:59" ht="12.75">
      <c r="A52" s="29">
        <v>4092</v>
      </c>
      <c r="B52" s="30" t="s">
        <v>81</v>
      </c>
      <c r="C52" s="31">
        <v>0.8</v>
      </c>
      <c r="D52" s="32"/>
      <c r="E52" s="32"/>
      <c r="F52" s="33">
        <v>0.8</v>
      </c>
      <c r="G52" s="33">
        <v>0.55</v>
      </c>
      <c r="H52" s="33"/>
      <c r="I52" s="34">
        <f t="shared" si="5"/>
        <v>0.55</v>
      </c>
      <c r="J52" s="35">
        <f t="shared" si="6"/>
        <v>0</v>
      </c>
      <c r="AI52" s="36">
        <v>5.5</v>
      </c>
      <c r="AJ52" s="37">
        <v>0.8</v>
      </c>
      <c r="AK52" s="37"/>
      <c r="AL52" s="37"/>
      <c r="AM52" s="37"/>
      <c r="AN52" s="37"/>
      <c r="AO52" s="36"/>
      <c r="AP52" s="37"/>
      <c r="AQ52" s="37"/>
      <c r="AR52" s="37"/>
      <c r="AS52" s="36"/>
      <c r="AT52" s="37"/>
      <c r="AU52" s="36"/>
      <c r="AV52" s="37"/>
      <c r="AW52" s="36"/>
      <c r="AX52" s="37"/>
      <c r="AY52" s="37"/>
      <c r="AZ52" s="37"/>
      <c r="BA52" s="36"/>
      <c r="BB52" s="37"/>
      <c r="BC52" s="37"/>
      <c r="BD52" s="37"/>
      <c r="BE52" s="42">
        <f t="shared" si="7"/>
        <v>0.8</v>
      </c>
      <c r="BF52" s="38">
        <f t="shared" si="8"/>
        <v>5.5</v>
      </c>
      <c r="BG52" s="35">
        <f t="shared" si="9"/>
        <v>4.4</v>
      </c>
    </row>
    <row r="53" spans="1:59" ht="12.75">
      <c r="A53" s="29">
        <v>4093</v>
      </c>
      <c r="B53" s="30" t="s">
        <v>82</v>
      </c>
      <c r="C53" s="31">
        <v>13.1</v>
      </c>
      <c r="D53" s="32"/>
      <c r="E53" s="32"/>
      <c r="F53" s="33">
        <v>13.1</v>
      </c>
      <c r="G53" s="33">
        <v>3.39</v>
      </c>
      <c r="H53" s="33"/>
      <c r="I53" s="34">
        <f t="shared" si="5"/>
        <v>3.39</v>
      </c>
      <c r="J53" s="35">
        <f t="shared" si="6"/>
        <v>0</v>
      </c>
      <c r="AI53" s="36">
        <v>5.5</v>
      </c>
      <c r="AJ53" s="37">
        <v>10.9</v>
      </c>
      <c r="AK53" s="37"/>
      <c r="AL53" s="37"/>
      <c r="AM53" s="37"/>
      <c r="AN53" s="37"/>
      <c r="AO53" s="36">
        <v>6</v>
      </c>
      <c r="AP53" s="37">
        <v>2.2</v>
      </c>
      <c r="AQ53" s="37"/>
      <c r="AR53" s="37"/>
      <c r="AS53" s="36"/>
      <c r="AT53" s="37"/>
      <c r="AU53" s="36"/>
      <c r="AV53" s="37"/>
      <c r="AW53" s="36"/>
      <c r="AX53" s="37"/>
      <c r="AY53" s="37"/>
      <c r="AZ53" s="37"/>
      <c r="BA53" s="36"/>
      <c r="BB53" s="37"/>
      <c r="BC53" s="37"/>
      <c r="BD53" s="37"/>
      <c r="BE53" s="37">
        <f t="shared" si="7"/>
        <v>13.100000000000001</v>
      </c>
      <c r="BF53" s="38">
        <f t="shared" si="8"/>
        <v>5.583969465648855</v>
      </c>
      <c r="BG53" s="35">
        <f t="shared" si="9"/>
        <v>73.15</v>
      </c>
    </row>
    <row r="54" spans="1:59" ht="12.75">
      <c r="A54" s="29">
        <v>4103</v>
      </c>
      <c r="B54" s="30" t="s">
        <v>83</v>
      </c>
      <c r="C54" s="31">
        <v>1</v>
      </c>
      <c r="D54" s="32"/>
      <c r="E54" s="32"/>
      <c r="F54" s="33">
        <v>1</v>
      </c>
      <c r="G54" s="33">
        <v>0.38</v>
      </c>
      <c r="H54" s="33"/>
      <c r="I54" s="34">
        <f t="shared" si="5"/>
        <v>0.38</v>
      </c>
      <c r="J54" s="35">
        <f t="shared" si="6"/>
        <v>0</v>
      </c>
      <c r="AC54" s="36">
        <v>5</v>
      </c>
      <c r="AD54" s="37">
        <v>1</v>
      </c>
      <c r="AM54" s="37"/>
      <c r="AN54" s="37"/>
      <c r="AO54" s="36"/>
      <c r="AP54" s="37"/>
      <c r="AQ54" s="37"/>
      <c r="AR54" s="37"/>
      <c r="AS54" s="36"/>
      <c r="AT54" s="37"/>
      <c r="AU54" s="36"/>
      <c r="AV54" s="37"/>
      <c r="AW54" s="36"/>
      <c r="AX54" s="37"/>
      <c r="AY54" s="37"/>
      <c r="AZ54" s="37"/>
      <c r="BA54" s="36"/>
      <c r="BB54" s="37"/>
      <c r="BC54" s="37"/>
      <c r="BD54" s="37"/>
      <c r="BE54" s="37">
        <f t="shared" si="7"/>
        <v>1</v>
      </c>
      <c r="BF54" s="38">
        <f t="shared" si="8"/>
        <v>5</v>
      </c>
      <c r="BG54" s="35">
        <f t="shared" si="9"/>
        <v>5</v>
      </c>
    </row>
    <row r="55" spans="1:59" ht="12.75">
      <c r="A55" s="29">
        <v>4104</v>
      </c>
      <c r="B55" s="30" t="s">
        <v>256</v>
      </c>
      <c r="C55" s="31">
        <v>3.7</v>
      </c>
      <c r="D55" s="32"/>
      <c r="E55" s="32"/>
      <c r="F55" s="33">
        <v>3.7</v>
      </c>
      <c r="G55" s="33">
        <v>2.35</v>
      </c>
      <c r="H55" s="33"/>
      <c r="I55" s="34">
        <f t="shared" si="5"/>
        <v>2.35</v>
      </c>
      <c r="J55" s="35">
        <f t="shared" si="6"/>
        <v>0</v>
      </c>
      <c r="AI55" s="36">
        <v>5.5</v>
      </c>
      <c r="AJ55" s="37">
        <v>3.7</v>
      </c>
      <c r="AK55" s="37"/>
      <c r="AL55" s="37"/>
      <c r="AM55" s="37"/>
      <c r="AN55" s="37"/>
      <c r="AO55" s="36"/>
      <c r="AP55" s="37"/>
      <c r="AQ55" s="37"/>
      <c r="AR55" s="37"/>
      <c r="AS55" s="36"/>
      <c r="AT55" s="37"/>
      <c r="AU55" s="36"/>
      <c r="AV55" s="37"/>
      <c r="AW55" s="36"/>
      <c r="AX55" s="37"/>
      <c r="AY55" s="37"/>
      <c r="AZ55" s="37"/>
      <c r="BA55" s="36"/>
      <c r="BB55" s="37"/>
      <c r="BC55" s="37"/>
      <c r="BD55" s="37"/>
      <c r="BE55" s="37">
        <f t="shared" si="7"/>
        <v>3.7</v>
      </c>
      <c r="BF55" s="38">
        <f t="shared" si="8"/>
        <v>5.5</v>
      </c>
      <c r="BG55" s="35">
        <f t="shared" si="9"/>
        <v>20.35</v>
      </c>
    </row>
    <row r="56" spans="1:59" ht="24.75">
      <c r="A56" s="29">
        <v>4105</v>
      </c>
      <c r="B56" s="30" t="s">
        <v>85</v>
      </c>
      <c r="C56" s="31">
        <v>30.1</v>
      </c>
      <c r="D56" s="32"/>
      <c r="E56" s="32"/>
      <c r="F56" s="33">
        <v>30.1</v>
      </c>
      <c r="G56" s="33">
        <v>13.31</v>
      </c>
      <c r="H56" s="33"/>
      <c r="I56" s="34">
        <f t="shared" si="5"/>
        <v>13.31</v>
      </c>
      <c r="J56" s="35">
        <f t="shared" si="6"/>
        <v>0</v>
      </c>
      <c r="AM56" s="37"/>
      <c r="AN56" s="37"/>
      <c r="AO56" s="36">
        <v>6</v>
      </c>
      <c r="AP56" s="37">
        <v>26.93</v>
      </c>
      <c r="AQ56" s="37"/>
      <c r="AR56" s="37"/>
      <c r="AS56" s="36"/>
      <c r="AT56" s="37"/>
      <c r="AU56" s="36"/>
      <c r="AV56" s="37"/>
      <c r="AW56" s="36">
        <v>7.5</v>
      </c>
      <c r="AX56" s="37">
        <v>3.17</v>
      </c>
      <c r="AY56" s="37"/>
      <c r="AZ56" s="37"/>
      <c r="BA56" s="36"/>
      <c r="BB56" s="37"/>
      <c r="BC56" s="37"/>
      <c r="BD56" s="37"/>
      <c r="BE56" s="37">
        <f t="shared" si="7"/>
        <v>30.1</v>
      </c>
      <c r="BF56" s="38">
        <f t="shared" si="8"/>
        <v>6.1579734219269096</v>
      </c>
      <c r="BG56" s="35">
        <f t="shared" si="9"/>
        <v>185.355</v>
      </c>
    </row>
    <row r="57" spans="1:59" ht="12.75">
      <c r="A57" s="29">
        <v>4106</v>
      </c>
      <c r="B57" s="30" t="s">
        <v>86</v>
      </c>
      <c r="C57" s="31">
        <v>15</v>
      </c>
      <c r="D57" s="32"/>
      <c r="E57" s="32"/>
      <c r="F57" s="33">
        <v>15</v>
      </c>
      <c r="G57" s="33">
        <v>5.53</v>
      </c>
      <c r="H57" s="33"/>
      <c r="I57" s="34">
        <f t="shared" si="5"/>
        <v>5.53</v>
      </c>
      <c r="J57" s="35">
        <f t="shared" si="6"/>
        <v>0</v>
      </c>
      <c r="AI57" s="36">
        <v>5.5</v>
      </c>
      <c r="AJ57" s="37">
        <v>7.1</v>
      </c>
      <c r="AK57" s="37"/>
      <c r="AL57" s="37"/>
      <c r="AM57" s="37"/>
      <c r="AN57" s="37"/>
      <c r="AO57" s="36">
        <v>6</v>
      </c>
      <c r="AP57" s="37">
        <v>7.9</v>
      </c>
      <c r="AQ57" s="37"/>
      <c r="AR57" s="37"/>
      <c r="AS57" s="36"/>
      <c r="AT57" s="37"/>
      <c r="AU57" s="36"/>
      <c r="AV57" s="37"/>
      <c r="AW57" s="36"/>
      <c r="AX57" s="37"/>
      <c r="AY57" s="37"/>
      <c r="AZ57" s="37"/>
      <c r="BA57" s="36"/>
      <c r="BB57" s="37"/>
      <c r="BC57" s="37"/>
      <c r="BD57" s="37"/>
      <c r="BE57" s="37">
        <f t="shared" si="7"/>
        <v>15</v>
      </c>
      <c r="BF57" s="38">
        <f t="shared" si="8"/>
        <v>5.763333333333334</v>
      </c>
      <c r="BG57" s="35">
        <f t="shared" si="9"/>
        <v>86.45</v>
      </c>
    </row>
    <row r="58" spans="1:59" ht="24.75">
      <c r="A58" s="29">
        <v>4107</v>
      </c>
      <c r="B58" s="30" t="s">
        <v>87</v>
      </c>
      <c r="C58" s="31">
        <v>9.4</v>
      </c>
      <c r="D58" s="32"/>
      <c r="E58" s="32"/>
      <c r="F58" s="33">
        <v>9.4</v>
      </c>
      <c r="G58" s="33">
        <v>5.24</v>
      </c>
      <c r="H58" s="33"/>
      <c r="I58" s="34">
        <f t="shared" si="5"/>
        <v>5.24</v>
      </c>
      <c r="J58" s="35">
        <f t="shared" si="6"/>
        <v>0</v>
      </c>
      <c r="AC58" s="36">
        <v>5</v>
      </c>
      <c r="AD58" s="37">
        <v>4.4</v>
      </c>
      <c r="AI58" s="36">
        <v>5.5</v>
      </c>
      <c r="AJ58" s="37">
        <v>4</v>
      </c>
      <c r="AK58" s="37"/>
      <c r="AL58" s="37"/>
      <c r="AM58" s="37"/>
      <c r="AN58" s="37"/>
      <c r="AQ58" s="37"/>
      <c r="AR58" s="37"/>
      <c r="AU58" s="36">
        <v>7</v>
      </c>
      <c r="AV58" s="37">
        <v>1</v>
      </c>
      <c r="AW58" s="36"/>
      <c r="AX58" s="37"/>
      <c r="AY58" s="37"/>
      <c r="AZ58" s="37"/>
      <c r="BA58" s="36"/>
      <c r="BB58" s="37"/>
      <c r="BC58" s="37"/>
      <c r="BD58" s="37"/>
      <c r="BE58" s="37">
        <f t="shared" si="7"/>
        <v>9.4</v>
      </c>
      <c r="BF58" s="38">
        <f t="shared" si="8"/>
        <v>5.425531914893617</v>
      </c>
      <c r="BG58" s="35">
        <f t="shared" si="9"/>
        <v>51</v>
      </c>
    </row>
    <row r="59" spans="1:59" ht="12.75">
      <c r="A59" s="29">
        <v>4108</v>
      </c>
      <c r="B59" s="30" t="s">
        <v>88</v>
      </c>
      <c r="C59" s="31">
        <v>5</v>
      </c>
      <c r="D59" s="32"/>
      <c r="E59" s="32"/>
      <c r="F59" s="33">
        <v>5</v>
      </c>
      <c r="G59" s="33">
        <v>1.89</v>
      </c>
      <c r="H59" s="33"/>
      <c r="I59" s="34">
        <f t="shared" si="5"/>
        <v>1.89</v>
      </c>
      <c r="J59" s="35">
        <f t="shared" si="6"/>
        <v>0</v>
      </c>
      <c r="AC59" s="36">
        <v>5</v>
      </c>
      <c r="AD59" s="37">
        <v>1.4</v>
      </c>
      <c r="AI59" s="36">
        <v>5.5</v>
      </c>
      <c r="AJ59" s="37">
        <v>2.8</v>
      </c>
      <c r="AK59" s="37"/>
      <c r="AL59" s="37"/>
      <c r="AM59" s="37"/>
      <c r="AN59" s="37"/>
      <c r="AQ59" s="37"/>
      <c r="AR59" s="37"/>
      <c r="AU59" s="36">
        <v>7</v>
      </c>
      <c r="AV59" s="37">
        <v>0.8</v>
      </c>
      <c r="AW59" s="36"/>
      <c r="AX59" s="37"/>
      <c r="AY59" s="37"/>
      <c r="AZ59" s="37"/>
      <c r="BA59" s="36"/>
      <c r="BB59" s="37"/>
      <c r="BC59" s="37"/>
      <c r="BD59" s="37"/>
      <c r="BE59" s="37">
        <f t="shared" si="7"/>
        <v>4.999999999999999</v>
      </c>
      <c r="BF59" s="38">
        <f t="shared" si="8"/>
        <v>5.600000000000001</v>
      </c>
      <c r="BG59" s="35">
        <f t="shared" si="9"/>
        <v>28.000000000000004</v>
      </c>
    </row>
    <row r="60" spans="1:59" ht="24.75">
      <c r="A60" s="29">
        <v>4109</v>
      </c>
      <c r="B60" s="30" t="s">
        <v>89</v>
      </c>
      <c r="C60" s="31">
        <v>12.7</v>
      </c>
      <c r="D60" s="32"/>
      <c r="E60" s="32"/>
      <c r="F60" s="33">
        <v>12.7</v>
      </c>
      <c r="G60" s="33">
        <v>6.05</v>
      </c>
      <c r="H60" s="33"/>
      <c r="I60" s="34">
        <f t="shared" si="5"/>
        <v>6.05</v>
      </c>
      <c r="J60" s="35">
        <f t="shared" si="6"/>
        <v>0</v>
      </c>
      <c r="AI60" s="36">
        <v>5.5</v>
      </c>
      <c r="AJ60" s="37">
        <v>5.35</v>
      </c>
      <c r="AK60" s="37"/>
      <c r="AL60" s="37"/>
      <c r="AM60" s="37"/>
      <c r="AN60" s="37"/>
      <c r="AO60" s="36">
        <v>6</v>
      </c>
      <c r="AP60" s="37">
        <v>7.35</v>
      </c>
      <c r="AQ60" s="37"/>
      <c r="AR60" s="37"/>
      <c r="AS60" s="36"/>
      <c r="AT60" s="37"/>
      <c r="AU60" s="36"/>
      <c r="AV60" s="37"/>
      <c r="AW60" s="36"/>
      <c r="AX60" s="37"/>
      <c r="AY60" s="37"/>
      <c r="AZ60" s="37"/>
      <c r="BA60" s="36"/>
      <c r="BB60" s="37"/>
      <c r="BC60" s="37"/>
      <c r="BD60" s="37"/>
      <c r="BE60" s="37">
        <f t="shared" si="7"/>
        <v>12.7</v>
      </c>
      <c r="BF60" s="38">
        <f t="shared" si="8"/>
        <v>5.789370078740157</v>
      </c>
      <c r="BG60" s="35">
        <f t="shared" si="9"/>
        <v>73.52499999999999</v>
      </c>
    </row>
    <row r="61" spans="1:59" ht="12.75">
      <c r="A61" s="29">
        <v>4110</v>
      </c>
      <c r="B61" s="30" t="s">
        <v>90</v>
      </c>
      <c r="C61" s="31">
        <v>1.8</v>
      </c>
      <c r="D61" s="32"/>
      <c r="E61" s="32"/>
      <c r="F61" s="33">
        <v>1.8</v>
      </c>
      <c r="G61" s="33">
        <v>1.05</v>
      </c>
      <c r="H61" s="33"/>
      <c r="I61" s="34">
        <f t="shared" si="5"/>
        <v>1.05</v>
      </c>
      <c r="J61" s="35">
        <f t="shared" si="6"/>
        <v>0</v>
      </c>
      <c r="AA61" s="36">
        <v>4.8</v>
      </c>
      <c r="AB61" s="37">
        <v>1.8</v>
      </c>
      <c r="AM61" s="37"/>
      <c r="AN61" s="37"/>
      <c r="AO61" s="36"/>
      <c r="AP61" s="37"/>
      <c r="AQ61" s="37"/>
      <c r="AR61" s="37"/>
      <c r="AS61" s="36"/>
      <c r="AT61" s="37"/>
      <c r="AU61" s="36"/>
      <c r="AV61" s="37"/>
      <c r="AW61" s="36"/>
      <c r="AX61" s="37"/>
      <c r="AY61" s="37"/>
      <c r="AZ61" s="37"/>
      <c r="BA61" s="36"/>
      <c r="BB61" s="37"/>
      <c r="BC61" s="37"/>
      <c r="BD61" s="37"/>
      <c r="BE61" s="37">
        <f t="shared" si="7"/>
        <v>1.8</v>
      </c>
      <c r="BF61" s="38">
        <f t="shared" si="8"/>
        <v>4.8</v>
      </c>
      <c r="BG61" s="35">
        <f t="shared" si="9"/>
        <v>8.64</v>
      </c>
    </row>
    <row r="62" spans="1:59" ht="24.75">
      <c r="A62" s="29">
        <v>4118</v>
      </c>
      <c r="B62" s="30" t="s">
        <v>91</v>
      </c>
      <c r="C62" s="31">
        <v>14.9</v>
      </c>
      <c r="D62" s="32"/>
      <c r="E62" s="32"/>
      <c r="F62" s="33">
        <v>14.9</v>
      </c>
      <c r="G62" s="33">
        <v>4.09</v>
      </c>
      <c r="H62" s="33"/>
      <c r="I62" s="34">
        <f t="shared" si="5"/>
        <v>4.09</v>
      </c>
      <c r="J62" s="35">
        <f t="shared" si="6"/>
        <v>0</v>
      </c>
      <c r="O62" s="36">
        <v>3.5</v>
      </c>
      <c r="P62" s="37">
        <v>0.4</v>
      </c>
      <c r="AC62" s="36">
        <v>5</v>
      </c>
      <c r="AD62" s="37">
        <v>0.30000000000000004</v>
      </c>
      <c r="AI62" s="36">
        <v>5.5</v>
      </c>
      <c r="AJ62" s="37">
        <v>4.7</v>
      </c>
      <c r="AK62" s="37"/>
      <c r="AL62" s="37"/>
      <c r="AM62" s="37"/>
      <c r="AN62" s="37"/>
      <c r="AO62" s="36">
        <v>6</v>
      </c>
      <c r="AP62" s="37">
        <v>9.5</v>
      </c>
      <c r="AQ62" s="37"/>
      <c r="AR62" s="37"/>
      <c r="AW62" s="36"/>
      <c r="AX62" s="37"/>
      <c r="AY62" s="37"/>
      <c r="AZ62" s="37"/>
      <c r="BA62" s="36"/>
      <c r="BB62" s="37"/>
      <c r="BC62" s="37"/>
      <c r="BD62" s="37"/>
      <c r="BE62" s="37">
        <f t="shared" si="7"/>
        <v>14.9</v>
      </c>
      <c r="BF62" s="38">
        <f t="shared" si="8"/>
        <v>5.75503355704698</v>
      </c>
      <c r="BG62" s="35">
        <f t="shared" si="9"/>
        <v>85.75</v>
      </c>
    </row>
    <row r="63" spans="1:59" ht="12.75">
      <c r="A63" s="29">
        <v>4119</v>
      </c>
      <c r="B63" s="30" t="s">
        <v>92</v>
      </c>
      <c r="C63" s="31">
        <v>2.5</v>
      </c>
      <c r="D63" s="32"/>
      <c r="E63" s="32"/>
      <c r="F63" s="33">
        <v>2.5</v>
      </c>
      <c r="G63" s="33">
        <v>0.45</v>
      </c>
      <c r="H63" s="33"/>
      <c r="I63" s="34">
        <f t="shared" si="5"/>
        <v>0.45</v>
      </c>
      <c r="J63" s="35">
        <f t="shared" si="6"/>
        <v>0</v>
      </c>
      <c r="AC63" s="36">
        <v>5</v>
      </c>
      <c r="AD63" s="37">
        <v>0.4</v>
      </c>
      <c r="AM63" s="37"/>
      <c r="AN63" s="37"/>
      <c r="AO63" s="36">
        <v>6</v>
      </c>
      <c r="AP63" s="37">
        <v>2.1</v>
      </c>
      <c r="AQ63" s="37"/>
      <c r="AR63" s="37"/>
      <c r="AS63" s="36"/>
      <c r="AT63" s="37"/>
      <c r="AU63" s="36"/>
      <c r="AV63" s="37"/>
      <c r="AW63" s="36"/>
      <c r="AX63" s="37"/>
      <c r="AY63" s="37"/>
      <c r="AZ63" s="37"/>
      <c r="BA63" s="36"/>
      <c r="BB63" s="37"/>
      <c r="BC63" s="37"/>
      <c r="BD63" s="37"/>
      <c r="BE63" s="37">
        <f t="shared" si="7"/>
        <v>2.5</v>
      </c>
      <c r="BF63" s="38">
        <f t="shared" si="8"/>
        <v>5.840000000000001</v>
      </c>
      <c r="BG63" s="35">
        <f t="shared" si="9"/>
        <v>14.600000000000001</v>
      </c>
    </row>
    <row r="64" spans="1:59" ht="12.75">
      <c r="A64" s="29">
        <v>4120</v>
      </c>
      <c r="B64" s="30" t="s">
        <v>257</v>
      </c>
      <c r="C64" s="31">
        <v>8.4</v>
      </c>
      <c r="D64" s="32"/>
      <c r="E64" s="32"/>
      <c r="F64" s="33">
        <v>8.4</v>
      </c>
      <c r="G64" s="33">
        <v>2.63</v>
      </c>
      <c r="H64" s="33"/>
      <c r="I64" s="34">
        <f t="shared" si="5"/>
        <v>2.63</v>
      </c>
      <c r="J64" s="35">
        <f t="shared" si="6"/>
        <v>0</v>
      </c>
      <c r="AC64" s="36">
        <v>5</v>
      </c>
      <c r="AD64" s="37">
        <v>5.9</v>
      </c>
      <c r="AI64" s="36">
        <v>5.5</v>
      </c>
      <c r="AJ64" s="37">
        <v>2.25</v>
      </c>
      <c r="AK64" s="36">
        <v>5.7</v>
      </c>
      <c r="AL64" s="37">
        <v>0.25</v>
      </c>
      <c r="AM64" s="37"/>
      <c r="AN64" s="37"/>
      <c r="AQ64" s="37"/>
      <c r="AR64" s="37"/>
      <c r="AU64" s="36"/>
      <c r="AV64" s="37"/>
      <c r="AW64" s="36"/>
      <c r="AX64" s="37"/>
      <c r="AY64" s="37"/>
      <c r="AZ64" s="37"/>
      <c r="BA64" s="36"/>
      <c r="BB64" s="37"/>
      <c r="BC64" s="37"/>
      <c r="BD64" s="37"/>
      <c r="BE64" s="37">
        <f t="shared" si="7"/>
        <v>8.4</v>
      </c>
      <c r="BF64" s="38">
        <f t="shared" si="8"/>
        <v>5.154761904761904</v>
      </c>
      <c r="BG64" s="35">
        <f t="shared" si="9"/>
        <v>43.3</v>
      </c>
    </row>
    <row r="65" spans="1:59" ht="12.75">
      <c r="A65" s="29">
        <v>4121</v>
      </c>
      <c r="B65" s="30" t="s">
        <v>94</v>
      </c>
      <c r="C65" s="31">
        <v>3.9</v>
      </c>
      <c r="D65" s="32"/>
      <c r="E65" s="32"/>
      <c r="F65" s="33">
        <v>3.9</v>
      </c>
      <c r="G65" s="33">
        <v>3.33</v>
      </c>
      <c r="H65" s="33"/>
      <c r="I65" s="34">
        <f t="shared" si="5"/>
        <v>3.33</v>
      </c>
      <c r="J65" s="35">
        <f t="shared" si="6"/>
        <v>0</v>
      </c>
      <c r="AI65" s="36">
        <v>5.5</v>
      </c>
      <c r="AJ65" s="37">
        <v>3.9</v>
      </c>
      <c r="AK65" s="37"/>
      <c r="AL65" s="37"/>
      <c r="AM65" s="37"/>
      <c r="AN65" s="37"/>
      <c r="AO65" s="36"/>
      <c r="AP65" s="37"/>
      <c r="AQ65" s="37"/>
      <c r="AR65" s="37"/>
      <c r="AS65" s="36"/>
      <c r="AT65" s="37"/>
      <c r="AU65" s="36"/>
      <c r="AV65" s="37"/>
      <c r="AW65" s="36"/>
      <c r="AX65" s="37"/>
      <c r="AY65" s="37"/>
      <c r="AZ65" s="37"/>
      <c r="BA65" s="36"/>
      <c r="BB65" s="37"/>
      <c r="BC65" s="37"/>
      <c r="BD65" s="37"/>
      <c r="BE65" s="37">
        <f t="shared" si="7"/>
        <v>3.9</v>
      </c>
      <c r="BF65" s="38">
        <f t="shared" si="8"/>
        <v>5.5</v>
      </c>
      <c r="BG65" s="35">
        <f t="shared" si="9"/>
        <v>21.45</v>
      </c>
    </row>
    <row r="66" spans="1:59" ht="12.75">
      <c r="A66" s="29">
        <v>4122</v>
      </c>
      <c r="B66" s="30" t="s">
        <v>95</v>
      </c>
      <c r="C66" s="31">
        <v>2.4</v>
      </c>
      <c r="D66" s="32"/>
      <c r="E66" s="32"/>
      <c r="F66" s="33">
        <v>2.4</v>
      </c>
      <c r="G66" s="33">
        <v>0.8</v>
      </c>
      <c r="H66" s="33"/>
      <c r="I66" s="34">
        <f t="shared" si="5"/>
        <v>0.8</v>
      </c>
      <c r="J66" s="35">
        <f t="shared" si="6"/>
        <v>0</v>
      </c>
      <c r="AI66" s="36">
        <v>5.5</v>
      </c>
      <c r="AJ66" s="37">
        <v>2.4</v>
      </c>
      <c r="AK66" s="37"/>
      <c r="AL66" s="37"/>
      <c r="AM66" s="37"/>
      <c r="AN66" s="37"/>
      <c r="AO66" s="36"/>
      <c r="AP66" s="37"/>
      <c r="AQ66" s="37"/>
      <c r="AR66" s="37"/>
      <c r="AS66" s="36"/>
      <c r="AT66" s="37"/>
      <c r="AU66" s="36"/>
      <c r="AV66" s="37"/>
      <c r="AW66" s="36"/>
      <c r="AX66" s="37"/>
      <c r="AY66" s="37"/>
      <c r="AZ66" s="37"/>
      <c r="BA66" s="36"/>
      <c r="BB66" s="37"/>
      <c r="BC66" s="37"/>
      <c r="BD66" s="37"/>
      <c r="BE66" s="37">
        <f t="shared" si="7"/>
        <v>2.4</v>
      </c>
      <c r="BF66" s="38">
        <f t="shared" si="8"/>
        <v>5.5</v>
      </c>
      <c r="BG66" s="35">
        <f t="shared" si="9"/>
        <v>13.2</v>
      </c>
    </row>
    <row r="67" spans="1:59" ht="24.75">
      <c r="A67" s="29">
        <v>4128</v>
      </c>
      <c r="B67" s="30" t="s">
        <v>96</v>
      </c>
      <c r="C67" s="31">
        <v>8.8</v>
      </c>
      <c r="D67" s="32"/>
      <c r="E67" s="32"/>
      <c r="F67" s="33">
        <v>8.8</v>
      </c>
      <c r="G67" s="33">
        <v>2.51</v>
      </c>
      <c r="H67" s="33"/>
      <c r="I67" s="34">
        <f t="shared" si="5"/>
        <v>2.51</v>
      </c>
      <c r="J67" s="35">
        <f t="shared" si="6"/>
        <v>0</v>
      </c>
      <c r="AC67" s="36">
        <v>5</v>
      </c>
      <c r="AD67" s="37">
        <v>1.56</v>
      </c>
      <c r="AI67" s="36">
        <v>5.5</v>
      </c>
      <c r="AJ67" s="37">
        <v>2.66</v>
      </c>
      <c r="AK67" s="37"/>
      <c r="AL67" s="37"/>
      <c r="AM67" s="37"/>
      <c r="AN67" s="37"/>
      <c r="AO67" s="36">
        <v>6</v>
      </c>
      <c r="AP67" s="37">
        <v>4.58</v>
      </c>
      <c r="AQ67" s="37"/>
      <c r="AR67" s="37"/>
      <c r="AU67" s="36"/>
      <c r="AV67" s="37"/>
      <c r="AW67" s="36"/>
      <c r="AX67" s="37"/>
      <c r="AY67" s="37"/>
      <c r="AZ67" s="37"/>
      <c r="BA67" s="36"/>
      <c r="BB67" s="37"/>
      <c r="BC67" s="37"/>
      <c r="BD67" s="37"/>
      <c r="BE67" s="37">
        <f t="shared" si="7"/>
        <v>8.8</v>
      </c>
      <c r="BF67" s="38">
        <f t="shared" si="8"/>
        <v>5.6715909090909085</v>
      </c>
      <c r="BG67" s="35">
        <f t="shared" si="9"/>
        <v>49.91</v>
      </c>
    </row>
    <row r="68" spans="1:59" ht="12.75">
      <c r="A68" s="29">
        <v>4129</v>
      </c>
      <c r="B68" s="30" t="s">
        <v>258</v>
      </c>
      <c r="C68" s="31">
        <v>8.5</v>
      </c>
      <c r="D68" s="32">
        <v>3.8</v>
      </c>
      <c r="E68" s="32"/>
      <c r="F68" s="33">
        <v>12.3</v>
      </c>
      <c r="G68" s="33">
        <v>3.55</v>
      </c>
      <c r="H68" s="33"/>
      <c r="I68" s="34">
        <f t="shared" si="5"/>
        <v>3.55</v>
      </c>
      <c r="J68" s="35">
        <f t="shared" si="6"/>
        <v>0</v>
      </c>
      <c r="Q68" s="36">
        <v>4</v>
      </c>
      <c r="R68" s="37">
        <v>0.5</v>
      </c>
      <c r="S68" s="37"/>
      <c r="T68" s="37"/>
      <c r="U68" s="37"/>
      <c r="V68" s="37"/>
      <c r="W68" s="37"/>
      <c r="X68" s="37"/>
      <c r="AC68" s="36">
        <v>5</v>
      </c>
      <c r="AD68" s="37">
        <v>1.3</v>
      </c>
      <c r="AK68" s="37"/>
      <c r="AL68" s="37"/>
      <c r="AM68" s="37"/>
      <c r="AN68" s="37"/>
      <c r="AO68" s="36">
        <v>6</v>
      </c>
      <c r="AP68" s="37">
        <v>6.7</v>
      </c>
      <c r="AQ68" s="37"/>
      <c r="AR68" s="37"/>
      <c r="AU68" s="36"/>
      <c r="AV68" s="37"/>
      <c r="AW68" s="36"/>
      <c r="AX68" s="37"/>
      <c r="AY68" s="37"/>
      <c r="AZ68" s="37"/>
      <c r="BA68" s="36"/>
      <c r="BB68" s="37"/>
      <c r="BC68" s="37"/>
      <c r="BD68" s="37"/>
      <c r="BE68" s="37">
        <f t="shared" si="7"/>
        <v>8.5</v>
      </c>
      <c r="BF68" s="38">
        <f t="shared" si="8"/>
        <v>5.729411764705882</v>
      </c>
      <c r="BG68" s="35">
        <f t="shared" si="9"/>
        <v>48.7</v>
      </c>
    </row>
    <row r="69" spans="1:59" ht="24.75">
      <c r="A69" s="29">
        <v>4130</v>
      </c>
      <c r="B69" s="30" t="s">
        <v>259</v>
      </c>
      <c r="C69" s="31">
        <v>24.6</v>
      </c>
      <c r="D69" s="32"/>
      <c r="E69" s="32"/>
      <c r="F69" s="33">
        <v>24.6</v>
      </c>
      <c r="G69" s="33">
        <v>12.48</v>
      </c>
      <c r="H69" s="33"/>
      <c r="I69" s="34">
        <f t="shared" si="5"/>
        <v>12.48</v>
      </c>
      <c r="J69" s="35">
        <f t="shared" si="6"/>
        <v>0</v>
      </c>
      <c r="Y69" s="36">
        <v>4.5</v>
      </c>
      <c r="Z69" s="37">
        <v>0.1</v>
      </c>
      <c r="AK69" s="37"/>
      <c r="AL69" s="37"/>
      <c r="AM69" s="37"/>
      <c r="AN69" s="37"/>
      <c r="AO69" s="36">
        <v>6</v>
      </c>
      <c r="AP69" s="37">
        <v>24.5</v>
      </c>
      <c r="AQ69" s="37"/>
      <c r="AR69" s="37"/>
      <c r="AS69" s="36"/>
      <c r="AT69" s="37"/>
      <c r="AU69" s="36"/>
      <c r="AV69" s="37"/>
      <c r="AW69" s="36"/>
      <c r="AX69" s="37"/>
      <c r="AY69" s="37"/>
      <c r="AZ69" s="37"/>
      <c r="BA69" s="36"/>
      <c r="BB69" s="37"/>
      <c r="BC69" s="37"/>
      <c r="BD69" s="37"/>
      <c r="BE69" s="37">
        <f t="shared" si="7"/>
        <v>24.6</v>
      </c>
      <c r="BF69" s="38">
        <f t="shared" si="8"/>
        <v>5.99390243902439</v>
      </c>
      <c r="BG69" s="35">
        <f t="shared" si="9"/>
        <v>147.45</v>
      </c>
    </row>
    <row r="70" spans="1:59" ht="12.75">
      <c r="A70" s="29">
        <v>4131</v>
      </c>
      <c r="B70" s="30" t="s">
        <v>99</v>
      </c>
      <c r="C70" s="31">
        <v>2.6</v>
      </c>
      <c r="D70" s="32"/>
      <c r="E70" s="32"/>
      <c r="F70" s="33">
        <v>2.6</v>
      </c>
      <c r="G70" s="33">
        <v>1.55</v>
      </c>
      <c r="H70" s="33"/>
      <c r="I70" s="34">
        <f t="shared" si="5"/>
        <v>1.55</v>
      </c>
      <c r="J70" s="35">
        <f t="shared" si="6"/>
        <v>0</v>
      </c>
      <c r="M70" s="36">
        <v>3</v>
      </c>
      <c r="N70" s="37">
        <v>0.30000000000000004</v>
      </c>
      <c r="Q70" s="36">
        <v>4</v>
      </c>
      <c r="R70" s="37">
        <v>0.05</v>
      </c>
      <c r="S70" s="37"/>
      <c r="T70" s="37"/>
      <c r="U70" s="37"/>
      <c r="V70" s="37"/>
      <c r="W70" s="37"/>
      <c r="X70" s="37"/>
      <c r="AC70" s="36">
        <v>5</v>
      </c>
      <c r="AD70" s="37">
        <v>2.25</v>
      </c>
      <c r="AK70" s="37"/>
      <c r="AL70" s="37"/>
      <c r="AM70" s="37"/>
      <c r="AN70" s="37"/>
      <c r="AQ70" s="37"/>
      <c r="AR70" s="37"/>
      <c r="AU70" s="36"/>
      <c r="AV70" s="37"/>
      <c r="AW70" s="36"/>
      <c r="AX70" s="37"/>
      <c r="AY70" s="37"/>
      <c r="AZ70" s="37"/>
      <c r="BA70" s="36"/>
      <c r="BB70" s="37"/>
      <c r="BC70" s="37"/>
      <c r="BD70" s="37"/>
      <c r="BE70" s="37">
        <f t="shared" si="7"/>
        <v>2.6</v>
      </c>
      <c r="BF70" s="38">
        <f t="shared" si="8"/>
        <v>4.75</v>
      </c>
      <c r="BG70" s="35">
        <f t="shared" si="9"/>
        <v>12.35</v>
      </c>
    </row>
    <row r="71" spans="1:59" ht="12.75">
      <c r="A71" s="29">
        <v>4132</v>
      </c>
      <c r="B71" s="30" t="s">
        <v>100</v>
      </c>
      <c r="C71" s="31">
        <v>3</v>
      </c>
      <c r="D71" s="32">
        <v>2.6</v>
      </c>
      <c r="E71" s="32"/>
      <c r="F71" s="33">
        <v>5.6</v>
      </c>
      <c r="G71" s="33">
        <v>2.97</v>
      </c>
      <c r="H71" s="33"/>
      <c r="I71" s="34">
        <f t="shared" si="5"/>
        <v>2.97</v>
      </c>
      <c r="J71" s="35">
        <f t="shared" si="6"/>
        <v>0</v>
      </c>
      <c r="Q71" s="36">
        <v>4</v>
      </c>
      <c r="R71" s="37">
        <v>1.42</v>
      </c>
      <c r="S71" s="37"/>
      <c r="T71" s="37"/>
      <c r="U71" s="37"/>
      <c r="V71" s="37"/>
      <c r="W71" s="37"/>
      <c r="X71" s="37"/>
      <c r="AK71" s="37"/>
      <c r="AL71" s="37"/>
      <c r="AM71" s="37"/>
      <c r="AN71" s="37"/>
      <c r="AO71" s="36">
        <v>6</v>
      </c>
      <c r="AP71" s="37">
        <v>1.58</v>
      </c>
      <c r="AQ71" s="37"/>
      <c r="AR71" s="37"/>
      <c r="AS71" s="36"/>
      <c r="AT71" s="37"/>
      <c r="AU71" s="36"/>
      <c r="AV71" s="37"/>
      <c r="AW71" s="36"/>
      <c r="AX71" s="37"/>
      <c r="AY71" s="37"/>
      <c r="AZ71" s="37"/>
      <c r="BA71" s="36"/>
      <c r="BB71" s="37"/>
      <c r="BC71" s="37"/>
      <c r="BD71" s="37"/>
      <c r="BE71" s="37">
        <f t="shared" si="7"/>
        <v>3</v>
      </c>
      <c r="BF71" s="38">
        <f t="shared" si="8"/>
        <v>5.053333333333334</v>
      </c>
      <c r="BG71" s="35">
        <f t="shared" si="9"/>
        <v>15.16</v>
      </c>
    </row>
    <row r="72" spans="1:59" ht="12.75">
      <c r="A72" s="29">
        <v>4133</v>
      </c>
      <c r="B72" s="30" t="s">
        <v>101</v>
      </c>
      <c r="C72" s="31">
        <v>6.33</v>
      </c>
      <c r="D72" s="32"/>
      <c r="E72" s="32"/>
      <c r="F72" s="33">
        <v>6.33</v>
      </c>
      <c r="G72" s="33">
        <v>2.66</v>
      </c>
      <c r="H72" s="33"/>
      <c r="I72" s="34">
        <f aca="true" t="shared" si="10" ref="I72:I93">G72+H72</f>
        <v>2.66</v>
      </c>
      <c r="J72" s="35">
        <f aca="true" t="shared" si="11" ref="J72:J93">C72-BE72</f>
        <v>0</v>
      </c>
      <c r="AK72" s="37"/>
      <c r="AL72" s="37"/>
      <c r="AM72" s="37"/>
      <c r="AN72" s="37"/>
      <c r="AO72" s="36">
        <v>6</v>
      </c>
      <c r="AP72" s="37">
        <v>6.33</v>
      </c>
      <c r="AQ72" s="37"/>
      <c r="AR72" s="37"/>
      <c r="AS72" s="36"/>
      <c r="AT72" s="37"/>
      <c r="AU72" s="36"/>
      <c r="AV72" s="37"/>
      <c r="AW72" s="36"/>
      <c r="AX72" s="37"/>
      <c r="AY72" s="37"/>
      <c r="AZ72" s="37"/>
      <c r="BA72" s="36"/>
      <c r="BB72" s="37"/>
      <c r="BC72" s="37"/>
      <c r="BD72" s="37"/>
      <c r="BE72" s="37">
        <f aca="true" t="shared" si="12" ref="BE72:BE93">L72+N72+P72+R72+T72+V72+X72+Z72+AB72+AD72+AF72+AH72+AJ72+AL72+AN72+AP72+AR72+AT72+AV72+AX72+AZ72+BB72+BD72</f>
        <v>6.33</v>
      </c>
      <c r="BF72" s="38">
        <f aca="true" t="shared" si="13" ref="BF72:BF93">(K72*L72+M72*N72+O72*P72+Q72*R72+S72*T72+U72*V72+W72*X72+Y72*Z72+AA72*AB72+AC72*AD72+AE72*AF72+AG72*AH72+AI72*AJ72+AK72*AL72+AM72*AN72+AO72*AP72+AQ72*AR72+AS72*AT72+AU72*AV72+AW72*AX72+AY72*AZ72+BA72*BB72+BC72*BD72)/BE72</f>
        <v>6.000000000000001</v>
      </c>
      <c r="BG72" s="35">
        <f aca="true" t="shared" si="14" ref="BG72:BG93">BF72*BE72</f>
        <v>37.980000000000004</v>
      </c>
    </row>
    <row r="73" spans="1:59" ht="12.75">
      <c r="A73" s="29">
        <v>4144</v>
      </c>
      <c r="B73" s="30" t="s">
        <v>260</v>
      </c>
      <c r="C73" s="31">
        <v>2.2</v>
      </c>
      <c r="D73" s="32"/>
      <c r="E73" s="32"/>
      <c r="F73" s="33">
        <v>2.2</v>
      </c>
      <c r="G73" s="33">
        <v>1.3</v>
      </c>
      <c r="H73" s="33"/>
      <c r="I73" s="34">
        <f t="shared" si="10"/>
        <v>1.3</v>
      </c>
      <c r="J73" s="35">
        <f t="shared" si="11"/>
        <v>0</v>
      </c>
      <c r="AI73" s="36">
        <v>5.5</v>
      </c>
      <c r="AJ73" s="37">
        <v>2.2</v>
      </c>
      <c r="AK73" s="37"/>
      <c r="AL73" s="37"/>
      <c r="AM73" s="37"/>
      <c r="AN73" s="37"/>
      <c r="AO73" s="36"/>
      <c r="AP73" s="37"/>
      <c r="AQ73" s="37"/>
      <c r="AR73" s="37"/>
      <c r="AS73" s="36"/>
      <c r="AT73" s="37"/>
      <c r="AU73" s="36"/>
      <c r="AV73" s="37"/>
      <c r="AW73" s="36"/>
      <c r="AX73" s="37"/>
      <c r="AY73" s="37"/>
      <c r="AZ73" s="37"/>
      <c r="BA73" s="36"/>
      <c r="BB73" s="37"/>
      <c r="BC73" s="37"/>
      <c r="BD73" s="37"/>
      <c r="BE73" s="37">
        <f t="shared" si="12"/>
        <v>2.2</v>
      </c>
      <c r="BF73" s="38">
        <f t="shared" si="13"/>
        <v>5.5</v>
      </c>
      <c r="BG73" s="35">
        <f t="shared" si="14"/>
        <v>12.100000000000001</v>
      </c>
    </row>
    <row r="74" spans="1:59" ht="12.75">
      <c r="A74" s="29">
        <v>4145</v>
      </c>
      <c r="B74" s="30" t="s">
        <v>103</v>
      </c>
      <c r="C74" s="31">
        <v>2</v>
      </c>
      <c r="D74" s="32"/>
      <c r="E74" s="32"/>
      <c r="F74" s="33">
        <v>2</v>
      </c>
      <c r="G74" s="33">
        <v>2</v>
      </c>
      <c r="H74" s="33"/>
      <c r="I74" s="34">
        <f t="shared" si="10"/>
        <v>2</v>
      </c>
      <c r="J74" s="35">
        <f t="shared" si="11"/>
        <v>0</v>
      </c>
      <c r="AK74" s="37"/>
      <c r="AL74" s="37"/>
      <c r="AM74" s="37"/>
      <c r="AN74" s="37"/>
      <c r="AO74" s="36">
        <v>6</v>
      </c>
      <c r="AP74" s="37">
        <v>2</v>
      </c>
      <c r="AQ74" s="37"/>
      <c r="AR74" s="37"/>
      <c r="AS74" s="36"/>
      <c r="AT74" s="37"/>
      <c r="AU74" s="36"/>
      <c r="AV74" s="37"/>
      <c r="AW74" s="36"/>
      <c r="AX74" s="37"/>
      <c r="AY74" s="37"/>
      <c r="AZ74" s="37"/>
      <c r="BA74" s="36"/>
      <c r="BB74" s="37"/>
      <c r="BC74" s="37"/>
      <c r="BD74" s="37"/>
      <c r="BE74" s="37">
        <f t="shared" si="12"/>
        <v>2</v>
      </c>
      <c r="BF74" s="38">
        <f t="shared" si="13"/>
        <v>6</v>
      </c>
      <c r="BG74" s="35">
        <f t="shared" si="14"/>
        <v>12</v>
      </c>
    </row>
    <row r="75" spans="1:59" ht="22.5">
      <c r="A75" s="29">
        <v>4146</v>
      </c>
      <c r="B75" s="30" t="s">
        <v>104</v>
      </c>
      <c r="C75" s="31">
        <v>3.8</v>
      </c>
      <c r="D75" s="32"/>
      <c r="E75" s="32">
        <v>3.5</v>
      </c>
      <c r="F75" s="33">
        <v>3.8</v>
      </c>
      <c r="G75" s="33">
        <v>3.8</v>
      </c>
      <c r="H75" s="33"/>
      <c r="I75" s="34">
        <f t="shared" si="10"/>
        <v>3.8</v>
      </c>
      <c r="J75" s="35">
        <f t="shared" si="11"/>
        <v>0</v>
      </c>
      <c r="AK75" s="37"/>
      <c r="AL75" s="37"/>
      <c r="AM75" s="37"/>
      <c r="AN75" s="37"/>
      <c r="AO75" s="36"/>
      <c r="AP75" s="37"/>
      <c r="AQ75" s="37"/>
      <c r="AR75" s="37"/>
      <c r="AS75" s="36"/>
      <c r="AT75" s="37"/>
      <c r="AU75" s="36"/>
      <c r="AV75" s="37"/>
      <c r="AW75" s="36">
        <v>7.5</v>
      </c>
      <c r="AX75" s="37">
        <v>3.8</v>
      </c>
      <c r="AY75" s="37"/>
      <c r="AZ75" s="37"/>
      <c r="BA75" s="36"/>
      <c r="BB75" s="37"/>
      <c r="BC75" s="37"/>
      <c r="BD75" s="37"/>
      <c r="BE75" s="37">
        <f t="shared" si="12"/>
        <v>3.8</v>
      </c>
      <c r="BF75" s="38">
        <f t="shared" si="13"/>
        <v>7.5</v>
      </c>
      <c r="BG75" s="35">
        <f t="shared" si="14"/>
        <v>28.5</v>
      </c>
    </row>
    <row r="76" spans="1:59" ht="22.5">
      <c r="A76" s="29">
        <v>4147</v>
      </c>
      <c r="B76" s="30" t="s">
        <v>105</v>
      </c>
      <c r="C76" s="31">
        <v>3.3</v>
      </c>
      <c r="D76" s="32"/>
      <c r="E76" s="32"/>
      <c r="F76" s="33">
        <v>3.3</v>
      </c>
      <c r="G76" s="33">
        <v>3.3</v>
      </c>
      <c r="H76" s="33"/>
      <c r="I76" s="34">
        <f t="shared" si="10"/>
        <v>3.3</v>
      </c>
      <c r="J76" s="35">
        <f t="shared" si="11"/>
        <v>0</v>
      </c>
      <c r="AK76" s="37"/>
      <c r="AL76" s="37"/>
      <c r="AM76" s="37"/>
      <c r="AN76" s="37"/>
      <c r="AQ76" s="37"/>
      <c r="AR76" s="37"/>
      <c r="AS76" s="36"/>
      <c r="AT76" s="37"/>
      <c r="AU76" s="36">
        <v>7</v>
      </c>
      <c r="AV76" s="37">
        <v>2.2</v>
      </c>
      <c r="AW76" s="36"/>
      <c r="AX76" s="37"/>
      <c r="AY76" s="37"/>
      <c r="AZ76" s="37"/>
      <c r="BA76" s="36">
        <v>9</v>
      </c>
      <c r="BB76" s="37">
        <v>1.1</v>
      </c>
      <c r="BC76" s="37"/>
      <c r="BD76" s="37"/>
      <c r="BE76" s="37">
        <f t="shared" si="12"/>
        <v>3.3000000000000003</v>
      </c>
      <c r="BF76" s="38">
        <f t="shared" si="13"/>
        <v>7.666666666666667</v>
      </c>
      <c r="BG76" s="35">
        <f t="shared" si="14"/>
        <v>25.300000000000004</v>
      </c>
    </row>
    <row r="77" spans="1:59" ht="24.75">
      <c r="A77" s="29">
        <v>4148</v>
      </c>
      <c r="B77" s="30" t="s">
        <v>106</v>
      </c>
      <c r="C77" s="31">
        <v>4.42</v>
      </c>
      <c r="D77" s="32">
        <v>2.48</v>
      </c>
      <c r="E77" s="32"/>
      <c r="F77" s="33">
        <v>6.9</v>
      </c>
      <c r="G77" s="33">
        <v>2.16</v>
      </c>
      <c r="H77" s="33"/>
      <c r="I77" s="34">
        <f t="shared" si="10"/>
        <v>2.16</v>
      </c>
      <c r="J77" s="35">
        <f t="shared" si="11"/>
        <v>0</v>
      </c>
      <c r="AI77" s="36">
        <v>5.5</v>
      </c>
      <c r="AJ77" s="37">
        <v>4.42</v>
      </c>
      <c r="AK77" s="37"/>
      <c r="AL77" s="37"/>
      <c r="AM77" s="37"/>
      <c r="AN77" s="37"/>
      <c r="AO77" s="36"/>
      <c r="AP77" s="37"/>
      <c r="AQ77" s="37"/>
      <c r="AR77" s="37"/>
      <c r="AS77" s="36"/>
      <c r="AT77" s="37"/>
      <c r="AU77" s="36"/>
      <c r="AV77" s="37"/>
      <c r="AW77" s="36"/>
      <c r="AX77" s="37"/>
      <c r="AY77" s="37"/>
      <c r="AZ77" s="37"/>
      <c r="BA77" s="36"/>
      <c r="BB77" s="37"/>
      <c r="BC77" s="37"/>
      <c r="BD77" s="37"/>
      <c r="BE77" s="37">
        <f t="shared" si="12"/>
        <v>4.42</v>
      </c>
      <c r="BF77" s="38">
        <f t="shared" si="13"/>
        <v>5.5</v>
      </c>
      <c r="BG77" s="35">
        <f t="shared" si="14"/>
        <v>24.31</v>
      </c>
    </row>
    <row r="78" spans="1:59" ht="12.75">
      <c r="A78" s="29">
        <v>4163</v>
      </c>
      <c r="B78" s="30" t="s">
        <v>107</v>
      </c>
      <c r="C78" s="31">
        <v>8.2</v>
      </c>
      <c r="D78" s="32"/>
      <c r="E78" s="32"/>
      <c r="F78" s="33">
        <v>8.2</v>
      </c>
      <c r="G78" s="33">
        <v>2.33</v>
      </c>
      <c r="H78" s="33"/>
      <c r="I78" s="34">
        <f t="shared" si="10"/>
        <v>2.33</v>
      </c>
      <c r="J78" s="35">
        <f t="shared" si="11"/>
        <v>0</v>
      </c>
      <c r="AI78" s="36">
        <v>5.5</v>
      </c>
      <c r="AJ78" s="37">
        <v>3.545</v>
      </c>
      <c r="AK78" s="37"/>
      <c r="AL78" s="37"/>
      <c r="AM78" s="37"/>
      <c r="AN78" s="37"/>
      <c r="AO78" s="36">
        <v>6</v>
      </c>
      <c r="AP78" s="37">
        <v>4.655</v>
      </c>
      <c r="AQ78" s="37"/>
      <c r="AR78" s="37"/>
      <c r="AS78" s="36"/>
      <c r="AT78" s="37"/>
      <c r="AU78" s="36"/>
      <c r="AV78" s="37"/>
      <c r="AW78" s="36"/>
      <c r="AX78" s="37"/>
      <c r="AY78" s="37"/>
      <c r="AZ78" s="37"/>
      <c r="BA78" s="36"/>
      <c r="BB78" s="37"/>
      <c r="BC78" s="37"/>
      <c r="BD78" s="37"/>
      <c r="BE78" s="37">
        <f t="shared" si="12"/>
        <v>8.2</v>
      </c>
      <c r="BF78" s="38">
        <f t="shared" si="13"/>
        <v>5.7838414634146345</v>
      </c>
      <c r="BG78" s="35">
        <f t="shared" si="14"/>
        <v>47.427499999999995</v>
      </c>
    </row>
    <row r="79" spans="1:59" ht="12.75">
      <c r="A79" s="29">
        <v>4165</v>
      </c>
      <c r="B79" s="30" t="s">
        <v>108</v>
      </c>
      <c r="C79" s="31">
        <v>5.1</v>
      </c>
      <c r="D79" s="32"/>
      <c r="E79" s="32"/>
      <c r="F79" s="33">
        <v>5.1</v>
      </c>
      <c r="G79" s="33">
        <v>1.9</v>
      </c>
      <c r="H79" s="33"/>
      <c r="I79" s="34">
        <f t="shared" si="10"/>
        <v>1.9</v>
      </c>
      <c r="J79" s="35">
        <f t="shared" si="11"/>
        <v>0</v>
      </c>
      <c r="AC79" s="36">
        <v>5</v>
      </c>
      <c r="AD79" s="37">
        <v>1.671</v>
      </c>
      <c r="AK79" s="37"/>
      <c r="AL79" s="37"/>
      <c r="AM79" s="37"/>
      <c r="AN79" s="37"/>
      <c r="AO79" s="36">
        <v>6</v>
      </c>
      <c r="AP79" s="37">
        <v>3.429</v>
      </c>
      <c r="AQ79" s="37"/>
      <c r="AR79" s="37"/>
      <c r="AS79" s="36"/>
      <c r="AT79" s="37"/>
      <c r="AU79" s="36"/>
      <c r="AV79" s="37"/>
      <c r="AW79" s="36"/>
      <c r="AX79" s="37"/>
      <c r="AY79" s="37"/>
      <c r="AZ79" s="37"/>
      <c r="BA79" s="36"/>
      <c r="BB79" s="37"/>
      <c r="BC79" s="37"/>
      <c r="BD79" s="37"/>
      <c r="BE79" s="37">
        <f t="shared" si="12"/>
        <v>5.1</v>
      </c>
      <c r="BF79" s="38">
        <f t="shared" si="13"/>
        <v>5.672352941176471</v>
      </c>
      <c r="BG79" s="35">
        <f t="shared" si="14"/>
        <v>28.929000000000002</v>
      </c>
    </row>
    <row r="80" spans="1:59" ht="12.75">
      <c r="A80" s="29">
        <v>4168</v>
      </c>
      <c r="B80" s="30" t="s">
        <v>109</v>
      </c>
      <c r="C80" s="31">
        <v>4.4</v>
      </c>
      <c r="D80" s="32"/>
      <c r="E80" s="32"/>
      <c r="F80" s="33">
        <v>4.4</v>
      </c>
      <c r="G80" s="33">
        <v>4.4</v>
      </c>
      <c r="H80" s="33"/>
      <c r="I80" s="34">
        <f t="shared" si="10"/>
        <v>4.4</v>
      </c>
      <c r="J80" s="35">
        <f t="shared" si="11"/>
        <v>0</v>
      </c>
      <c r="AK80" s="37"/>
      <c r="AL80" s="37"/>
      <c r="AM80" s="37"/>
      <c r="AN80" s="37"/>
      <c r="AO80" s="36">
        <v>6</v>
      </c>
      <c r="AP80" s="37">
        <f>1.65+0.135</f>
        <v>1.785</v>
      </c>
      <c r="AQ80" s="37"/>
      <c r="AR80" s="37"/>
      <c r="AS80" s="36">
        <v>6.5</v>
      </c>
      <c r="AT80" s="37">
        <v>0.915</v>
      </c>
      <c r="AU80" s="36">
        <v>7</v>
      </c>
      <c r="AV80" s="37">
        <v>1.605</v>
      </c>
      <c r="AW80" s="36"/>
      <c r="AX80" s="37"/>
      <c r="AY80" s="37"/>
      <c r="AZ80" s="37"/>
      <c r="BA80" s="36">
        <v>9</v>
      </c>
      <c r="BB80" s="37">
        <v>0.095</v>
      </c>
      <c r="BC80" s="37"/>
      <c r="BD80" s="37"/>
      <c r="BE80" s="37">
        <f t="shared" si="12"/>
        <v>4.3999999999999995</v>
      </c>
      <c r="BF80" s="38">
        <f t="shared" si="13"/>
        <v>6.533522727272728</v>
      </c>
      <c r="BG80" s="35">
        <f t="shared" si="14"/>
        <v>28.7475</v>
      </c>
    </row>
    <row r="81" spans="1:59" ht="12.75">
      <c r="A81" s="29">
        <v>4189</v>
      </c>
      <c r="B81" s="30" t="s">
        <v>110</v>
      </c>
      <c r="C81" s="31">
        <v>2.1</v>
      </c>
      <c r="D81" s="32"/>
      <c r="E81" s="32"/>
      <c r="F81" s="33">
        <v>2.1</v>
      </c>
      <c r="G81" s="33">
        <v>1.37</v>
      </c>
      <c r="H81" s="33"/>
      <c r="I81" s="34">
        <f t="shared" si="10"/>
        <v>1.37</v>
      </c>
      <c r="J81" s="35">
        <f t="shared" si="11"/>
        <v>0</v>
      </c>
      <c r="AI81" s="36">
        <v>5.5</v>
      </c>
      <c r="AJ81" s="37">
        <v>2.1</v>
      </c>
      <c r="AK81" s="37"/>
      <c r="AL81" s="37"/>
      <c r="AM81" s="37"/>
      <c r="AN81" s="37"/>
      <c r="AO81" s="36"/>
      <c r="AP81" s="37"/>
      <c r="AQ81" s="37"/>
      <c r="AR81" s="37"/>
      <c r="AS81" s="36"/>
      <c r="AT81" s="37"/>
      <c r="AU81" s="36"/>
      <c r="AV81" s="37"/>
      <c r="AW81" s="36"/>
      <c r="AX81" s="37"/>
      <c r="AY81" s="37"/>
      <c r="AZ81" s="37"/>
      <c r="BA81" s="36"/>
      <c r="BB81" s="37"/>
      <c r="BC81" s="37"/>
      <c r="BD81" s="37"/>
      <c r="BE81" s="37">
        <f t="shared" si="12"/>
        <v>2.1</v>
      </c>
      <c r="BF81" s="38">
        <f t="shared" si="13"/>
        <v>5.5</v>
      </c>
      <c r="BG81" s="35">
        <f t="shared" si="14"/>
        <v>11.55</v>
      </c>
    </row>
    <row r="82" spans="1:59" ht="24.75">
      <c r="A82" s="29">
        <v>4202</v>
      </c>
      <c r="B82" s="30" t="s">
        <v>111</v>
      </c>
      <c r="C82" s="31">
        <v>8.8</v>
      </c>
      <c r="D82" s="32"/>
      <c r="E82" s="32"/>
      <c r="F82" s="33">
        <v>8.8</v>
      </c>
      <c r="G82" s="33">
        <v>7.04</v>
      </c>
      <c r="H82" s="33"/>
      <c r="I82" s="34">
        <f t="shared" si="10"/>
        <v>7.04</v>
      </c>
      <c r="J82" s="35">
        <f t="shared" si="11"/>
        <v>0</v>
      </c>
      <c r="AK82" s="37"/>
      <c r="AL82" s="37"/>
      <c r="AM82" s="37"/>
      <c r="AN82" s="37"/>
      <c r="AO82" s="36"/>
      <c r="AP82" s="37"/>
      <c r="AQ82" s="36">
        <v>6.2</v>
      </c>
      <c r="AR82" s="37">
        <v>8.8</v>
      </c>
      <c r="AS82" s="36"/>
      <c r="AT82" s="37"/>
      <c r="AU82" s="36"/>
      <c r="AV82" s="37"/>
      <c r="AW82" s="36"/>
      <c r="AX82" s="37"/>
      <c r="AY82" s="37"/>
      <c r="AZ82" s="37"/>
      <c r="BA82" s="36"/>
      <c r="BB82" s="37"/>
      <c r="BC82" s="37"/>
      <c r="BD82" s="37"/>
      <c r="BE82" s="37">
        <f t="shared" si="12"/>
        <v>8.8</v>
      </c>
      <c r="BF82" s="38">
        <f t="shared" si="13"/>
        <v>6.2</v>
      </c>
      <c r="BG82" s="35">
        <f t="shared" si="14"/>
        <v>54.56000000000001</v>
      </c>
    </row>
    <row r="83" spans="1:59" ht="12.75">
      <c r="A83" s="29">
        <v>4237</v>
      </c>
      <c r="B83" s="30" t="s">
        <v>112</v>
      </c>
      <c r="C83" s="31">
        <v>4.2</v>
      </c>
      <c r="D83" s="32"/>
      <c r="E83" s="32"/>
      <c r="F83" s="33">
        <v>4.2</v>
      </c>
      <c r="G83" s="33">
        <v>2.42</v>
      </c>
      <c r="H83" s="33"/>
      <c r="I83" s="34">
        <f t="shared" si="10"/>
        <v>2.42</v>
      </c>
      <c r="J83" s="35">
        <f t="shared" si="11"/>
        <v>0</v>
      </c>
      <c r="Q83" s="36">
        <v>4</v>
      </c>
      <c r="R83" s="37">
        <v>0.62</v>
      </c>
      <c r="S83" s="37"/>
      <c r="T83" s="37"/>
      <c r="U83" s="37"/>
      <c r="V83" s="37"/>
      <c r="W83" s="37"/>
      <c r="X83" s="37"/>
      <c r="AC83" s="36">
        <v>5</v>
      </c>
      <c r="AD83" s="37">
        <v>2.97</v>
      </c>
      <c r="AI83" s="36">
        <v>5.5</v>
      </c>
      <c r="AJ83" s="37">
        <v>0.61</v>
      </c>
      <c r="AK83" s="37"/>
      <c r="AL83" s="37"/>
      <c r="AM83" s="37"/>
      <c r="AN83" s="37"/>
      <c r="AQ83" s="37"/>
      <c r="AR83" s="37"/>
      <c r="AU83" s="36"/>
      <c r="AV83" s="37"/>
      <c r="AW83" s="36"/>
      <c r="AX83" s="37"/>
      <c r="AY83" s="37"/>
      <c r="AZ83" s="37"/>
      <c r="BA83" s="36"/>
      <c r="BB83" s="37"/>
      <c r="BC83" s="37"/>
      <c r="BD83" s="37"/>
      <c r="BE83" s="37">
        <f t="shared" si="12"/>
        <v>4.2</v>
      </c>
      <c r="BF83" s="38">
        <f t="shared" si="13"/>
        <v>4.925000000000001</v>
      </c>
      <c r="BG83" s="35">
        <f t="shared" si="14"/>
        <v>20.685000000000002</v>
      </c>
    </row>
    <row r="84" spans="1:59" ht="12.75">
      <c r="A84" s="29">
        <v>4238</v>
      </c>
      <c r="B84" s="30" t="s">
        <v>113</v>
      </c>
      <c r="C84" s="31">
        <v>3.3</v>
      </c>
      <c r="D84" s="32"/>
      <c r="E84" s="32"/>
      <c r="F84" s="33">
        <v>3.3</v>
      </c>
      <c r="G84" s="33">
        <v>1.3</v>
      </c>
      <c r="H84" s="33"/>
      <c r="I84" s="34">
        <f t="shared" si="10"/>
        <v>1.3</v>
      </c>
      <c r="J84" s="35">
        <f t="shared" si="11"/>
        <v>0</v>
      </c>
      <c r="AK84" s="37"/>
      <c r="AL84" s="37"/>
      <c r="AM84" s="37"/>
      <c r="AN84" s="37"/>
      <c r="AO84" s="36">
        <v>6</v>
      </c>
      <c r="AP84" s="37">
        <v>2.8</v>
      </c>
      <c r="AQ84" s="37"/>
      <c r="AR84" s="37"/>
      <c r="AS84" s="36"/>
      <c r="AT84" s="37"/>
      <c r="AU84" s="36">
        <v>7</v>
      </c>
      <c r="AV84" s="37">
        <v>0.5</v>
      </c>
      <c r="AW84" s="36"/>
      <c r="AX84" s="37"/>
      <c r="AY84" s="37"/>
      <c r="AZ84" s="37"/>
      <c r="BA84" s="36"/>
      <c r="BB84" s="37"/>
      <c r="BC84" s="37"/>
      <c r="BD84" s="37"/>
      <c r="BE84" s="37">
        <f t="shared" si="12"/>
        <v>3.3</v>
      </c>
      <c r="BF84" s="38">
        <f t="shared" si="13"/>
        <v>6.151515151515151</v>
      </c>
      <c r="BG84" s="35">
        <f t="shared" si="14"/>
        <v>20.299999999999997</v>
      </c>
    </row>
    <row r="85" spans="1:59" ht="22.5">
      <c r="A85" s="29">
        <v>4239</v>
      </c>
      <c r="B85" s="30" t="s">
        <v>261</v>
      </c>
      <c r="C85" s="31">
        <v>4.4</v>
      </c>
      <c r="D85" s="32"/>
      <c r="E85" s="32"/>
      <c r="F85" s="33">
        <v>4.4</v>
      </c>
      <c r="G85" s="33">
        <v>3.73</v>
      </c>
      <c r="H85" s="33"/>
      <c r="I85" s="34">
        <f t="shared" si="10"/>
        <v>3.73</v>
      </c>
      <c r="J85" s="35">
        <f t="shared" si="11"/>
        <v>0</v>
      </c>
      <c r="AC85" s="36">
        <v>5</v>
      </c>
      <c r="AD85" s="37">
        <v>2.85</v>
      </c>
      <c r="AI85" s="36">
        <v>5.5</v>
      </c>
      <c r="AJ85" s="37">
        <v>1.55</v>
      </c>
      <c r="AK85" s="37"/>
      <c r="AL85" s="37"/>
      <c r="AM85" s="37"/>
      <c r="AN85" s="37"/>
      <c r="AQ85" s="37"/>
      <c r="AR85" s="37"/>
      <c r="AS85" s="36"/>
      <c r="AT85" s="37"/>
      <c r="AU85" s="36"/>
      <c r="AV85" s="37"/>
      <c r="AW85" s="36"/>
      <c r="AX85" s="37"/>
      <c r="AY85" s="37"/>
      <c r="AZ85" s="37"/>
      <c r="BA85" s="36"/>
      <c r="BB85" s="37"/>
      <c r="BC85" s="37"/>
      <c r="BD85" s="37"/>
      <c r="BE85" s="37">
        <f t="shared" si="12"/>
        <v>4.4</v>
      </c>
      <c r="BF85" s="38">
        <f t="shared" si="13"/>
        <v>5.176136363636363</v>
      </c>
      <c r="BG85" s="35">
        <f t="shared" si="14"/>
        <v>22.775000000000002</v>
      </c>
    </row>
    <row r="86" spans="1:59" ht="12.75">
      <c r="A86" s="43">
        <v>4247</v>
      </c>
      <c r="B86" s="30" t="s">
        <v>115</v>
      </c>
      <c r="C86" s="31">
        <v>1.6</v>
      </c>
      <c r="D86" s="32"/>
      <c r="E86" s="32"/>
      <c r="F86" s="33">
        <v>1.6</v>
      </c>
      <c r="G86" s="33"/>
      <c r="H86" s="33"/>
      <c r="I86" s="34">
        <f t="shared" si="10"/>
        <v>0</v>
      </c>
      <c r="J86" s="35">
        <f t="shared" si="11"/>
        <v>0</v>
      </c>
      <c r="AK86" s="37"/>
      <c r="AL86" s="37"/>
      <c r="AM86" s="37"/>
      <c r="AN86" s="37"/>
      <c r="AO86" s="36"/>
      <c r="AP86" s="37"/>
      <c r="AQ86" s="37"/>
      <c r="AR86" s="37"/>
      <c r="AS86" s="36">
        <v>6.5</v>
      </c>
      <c r="AT86" s="37">
        <v>1.6</v>
      </c>
      <c r="AU86" s="36"/>
      <c r="AV86" s="37"/>
      <c r="AW86" s="36"/>
      <c r="AX86" s="37"/>
      <c r="AY86" s="37"/>
      <c r="AZ86" s="37"/>
      <c r="BA86" s="36"/>
      <c r="BB86" s="37"/>
      <c r="BC86" s="37"/>
      <c r="BD86" s="37"/>
      <c r="BE86" s="37">
        <f t="shared" si="12"/>
        <v>1.6</v>
      </c>
      <c r="BF86" s="38">
        <f t="shared" si="13"/>
        <v>6.5</v>
      </c>
      <c r="BG86" s="35">
        <f t="shared" si="14"/>
        <v>10.4</v>
      </c>
    </row>
    <row r="87" spans="1:59" ht="24.75">
      <c r="A87" s="43">
        <v>4257</v>
      </c>
      <c r="B87" s="30" t="s">
        <v>116</v>
      </c>
      <c r="C87" s="31">
        <v>12.8</v>
      </c>
      <c r="D87" s="32"/>
      <c r="E87" s="32"/>
      <c r="F87" s="33">
        <v>12.8</v>
      </c>
      <c r="G87" s="33">
        <v>7.76</v>
      </c>
      <c r="H87" s="33"/>
      <c r="I87" s="34">
        <f t="shared" si="10"/>
        <v>7.76</v>
      </c>
      <c r="J87" s="35">
        <f t="shared" si="11"/>
        <v>0</v>
      </c>
      <c r="AK87" s="37"/>
      <c r="AL87" s="37"/>
      <c r="AM87" s="37"/>
      <c r="AN87" s="37"/>
      <c r="AO87" s="36"/>
      <c r="AP87" s="37"/>
      <c r="AQ87" s="37"/>
      <c r="AR87" s="37"/>
      <c r="AS87" s="36"/>
      <c r="AT87" s="37"/>
      <c r="AU87" s="36">
        <v>7</v>
      </c>
      <c r="AV87" s="37">
        <v>12.8</v>
      </c>
      <c r="AW87" s="36"/>
      <c r="AX87" s="37"/>
      <c r="AY87" s="37"/>
      <c r="AZ87" s="37"/>
      <c r="BA87" s="36"/>
      <c r="BB87" s="37"/>
      <c r="BC87" s="37"/>
      <c r="BD87" s="37"/>
      <c r="BE87" s="37">
        <f t="shared" si="12"/>
        <v>12.8</v>
      </c>
      <c r="BF87" s="38">
        <f t="shared" si="13"/>
        <v>7</v>
      </c>
      <c r="BG87" s="35">
        <f t="shared" si="14"/>
        <v>89.60000000000001</v>
      </c>
    </row>
    <row r="88" spans="1:59" ht="12.75">
      <c r="A88" s="44">
        <v>4259</v>
      </c>
      <c r="B88" s="45" t="s">
        <v>117</v>
      </c>
      <c r="C88" s="46">
        <v>3.7</v>
      </c>
      <c r="D88" s="47"/>
      <c r="E88" s="47"/>
      <c r="F88" s="34">
        <v>3.7</v>
      </c>
      <c r="G88" s="34">
        <v>0.83</v>
      </c>
      <c r="H88" s="34"/>
      <c r="I88" s="34">
        <f t="shared" si="10"/>
        <v>0.83</v>
      </c>
      <c r="J88" s="35">
        <f t="shared" si="11"/>
        <v>0</v>
      </c>
      <c r="AK88" s="37"/>
      <c r="AL88" s="37"/>
      <c r="AM88" s="37"/>
      <c r="AN88" s="37"/>
      <c r="AO88" s="36">
        <v>6</v>
      </c>
      <c r="AP88" s="37">
        <v>3.7</v>
      </c>
      <c r="AQ88" s="37"/>
      <c r="AR88" s="37"/>
      <c r="AS88" s="36"/>
      <c r="AT88" s="37"/>
      <c r="AU88" s="36"/>
      <c r="AV88" s="37"/>
      <c r="AW88" s="36"/>
      <c r="AX88" s="37"/>
      <c r="AY88" s="37"/>
      <c r="AZ88" s="37"/>
      <c r="BA88" s="36"/>
      <c r="BB88" s="37"/>
      <c r="BC88" s="37"/>
      <c r="BD88" s="37"/>
      <c r="BE88" s="37">
        <f t="shared" si="12"/>
        <v>3.7</v>
      </c>
      <c r="BF88" s="38">
        <f t="shared" si="13"/>
        <v>6.000000000000001</v>
      </c>
      <c r="BG88" s="35">
        <f t="shared" si="14"/>
        <v>22.200000000000003</v>
      </c>
    </row>
    <row r="89" spans="1:59" ht="12.75">
      <c r="A89" s="44">
        <v>4291</v>
      </c>
      <c r="B89" s="45" t="s">
        <v>118</v>
      </c>
      <c r="C89" s="46">
        <v>1.71</v>
      </c>
      <c r="D89" s="47"/>
      <c r="E89" s="47"/>
      <c r="F89" s="34">
        <v>1.71</v>
      </c>
      <c r="G89" s="34"/>
      <c r="H89" s="34"/>
      <c r="I89" s="34">
        <f t="shared" si="10"/>
        <v>0</v>
      </c>
      <c r="J89" s="35">
        <f t="shared" si="11"/>
        <v>0</v>
      </c>
      <c r="AK89" s="37"/>
      <c r="AL89" s="37"/>
      <c r="AM89" s="37"/>
      <c r="AN89" s="37"/>
      <c r="AQ89" s="37"/>
      <c r="AR89" s="37"/>
      <c r="AS89" s="36"/>
      <c r="AT89" s="37"/>
      <c r="AU89" s="36">
        <v>7</v>
      </c>
      <c r="AV89" s="37">
        <v>1.4</v>
      </c>
      <c r="AW89" s="36"/>
      <c r="AX89" s="37"/>
      <c r="AY89" s="37"/>
      <c r="AZ89" s="37"/>
      <c r="BA89" s="36"/>
      <c r="BB89" s="37"/>
      <c r="BC89" s="36">
        <v>12</v>
      </c>
      <c r="BD89" s="37">
        <v>0.31</v>
      </c>
      <c r="BE89" s="37">
        <f t="shared" si="12"/>
        <v>1.71</v>
      </c>
      <c r="BF89" s="38">
        <f t="shared" si="13"/>
        <v>7.906432748538012</v>
      </c>
      <c r="BG89" s="35">
        <f t="shared" si="14"/>
        <v>13.52</v>
      </c>
    </row>
    <row r="90" spans="1:59" ht="24.75">
      <c r="A90" s="44">
        <v>4292</v>
      </c>
      <c r="B90" s="45" t="s">
        <v>119</v>
      </c>
      <c r="C90" s="46">
        <f>11+0.15</f>
        <v>11.15</v>
      </c>
      <c r="D90" s="47">
        <f>4-0.15</f>
        <v>3.85</v>
      </c>
      <c r="E90" s="47"/>
      <c r="F90" s="34">
        <v>15</v>
      </c>
      <c r="G90" s="34">
        <v>2.5</v>
      </c>
      <c r="H90" s="34">
        <v>0</v>
      </c>
      <c r="I90" s="34">
        <f t="shared" si="10"/>
        <v>2.5</v>
      </c>
      <c r="J90" s="35">
        <f t="shared" si="11"/>
        <v>0</v>
      </c>
      <c r="AC90" s="36">
        <v>5</v>
      </c>
      <c r="AD90" s="37">
        <v>2.4</v>
      </c>
      <c r="AI90" s="36">
        <v>5.5</v>
      </c>
      <c r="AJ90" s="37">
        <v>0.95</v>
      </c>
      <c r="AK90" s="37"/>
      <c r="AL90" s="37"/>
      <c r="AM90" s="37"/>
      <c r="AN90" s="37"/>
      <c r="AO90" s="36">
        <v>6</v>
      </c>
      <c r="AP90" s="37">
        <v>7.8</v>
      </c>
      <c r="AQ90" s="37"/>
      <c r="AR90" s="37"/>
      <c r="AU90" s="36"/>
      <c r="AV90" s="37"/>
      <c r="AW90" s="36"/>
      <c r="AX90" s="37"/>
      <c r="AY90" s="37"/>
      <c r="AZ90" s="37"/>
      <c r="BA90" s="36"/>
      <c r="BB90" s="37"/>
      <c r="BC90" s="37"/>
      <c r="BD90" s="37"/>
      <c r="BE90" s="42">
        <f t="shared" si="12"/>
        <v>11.149999999999999</v>
      </c>
      <c r="BF90" s="38">
        <f t="shared" si="13"/>
        <v>5.742152466367714</v>
      </c>
      <c r="BG90" s="35">
        <f t="shared" si="14"/>
        <v>64.025</v>
      </c>
    </row>
    <row r="91" spans="1:59" ht="12.75">
      <c r="A91" s="44">
        <v>4293</v>
      </c>
      <c r="B91" s="45" t="s">
        <v>262</v>
      </c>
      <c r="C91" s="46">
        <v>4.1</v>
      </c>
      <c r="D91" s="47"/>
      <c r="E91" s="47"/>
      <c r="F91" s="34">
        <v>4.1</v>
      </c>
      <c r="G91" s="34">
        <v>1.4</v>
      </c>
      <c r="H91" s="34"/>
      <c r="I91" s="34">
        <f t="shared" si="10"/>
        <v>1.4</v>
      </c>
      <c r="J91" s="35">
        <f t="shared" si="11"/>
        <v>0</v>
      </c>
      <c r="AK91" s="37"/>
      <c r="AL91" s="37"/>
      <c r="AM91" s="36">
        <v>5.8</v>
      </c>
      <c r="AN91" s="37">
        <v>1.6</v>
      </c>
      <c r="AO91" s="36">
        <v>6</v>
      </c>
      <c r="AP91" s="37">
        <v>2.4</v>
      </c>
      <c r="AQ91" s="37"/>
      <c r="AR91" s="37"/>
      <c r="AU91" s="36"/>
      <c r="AV91" s="37"/>
      <c r="AW91" s="36"/>
      <c r="AX91" s="37"/>
      <c r="AY91" s="37"/>
      <c r="AZ91" s="37"/>
      <c r="BA91" s="36"/>
      <c r="BB91" s="37"/>
      <c r="BC91" s="36">
        <v>12</v>
      </c>
      <c r="BD91" s="37">
        <v>0.1</v>
      </c>
      <c r="BE91" s="37">
        <f t="shared" si="12"/>
        <v>4.1</v>
      </c>
      <c r="BF91" s="38">
        <f t="shared" si="13"/>
        <v>6.068292682926829</v>
      </c>
      <c r="BG91" s="35">
        <f t="shared" si="14"/>
        <v>24.88</v>
      </c>
    </row>
    <row r="92" spans="1:59" ht="12.75">
      <c r="A92" s="43">
        <v>4295</v>
      </c>
      <c r="B92" s="30" t="s">
        <v>263</v>
      </c>
      <c r="C92" s="31">
        <v>2.4</v>
      </c>
      <c r="D92" s="32"/>
      <c r="E92" s="32">
        <v>4.9</v>
      </c>
      <c r="F92" s="33">
        <v>2.4</v>
      </c>
      <c r="G92" s="33">
        <v>2.25</v>
      </c>
      <c r="H92" s="33"/>
      <c r="I92" s="34">
        <f t="shared" si="10"/>
        <v>2.25</v>
      </c>
      <c r="J92" s="35">
        <f t="shared" si="11"/>
        <v>0</v>
      </c>
      <c r="AK92" s="37"/>
      <c r="AL92" s="37"/>
      <c r="AM92" s="37"/>
      <c r="AN92" s="37"/>
      <c r="AO92" s="36">
        <v>6</v>
      </c>
      <c r="AP92" s="37">
        <v>2.4</v>
      </c>
      <c r="AQ92" s="37"/>
      <c r="AR92" s="37"/>
      <c r="AS92" s="36"/>
      <c r="AT92" s="37"/>
      <c r="AU92" s="36"/>
      <c r="AV92" s="37"/>
      <c r="AW92" s="36"/>
      <c r="AX92" s="37"/>
      <c r="AY92" s="37"/>
      <c r="AZ92" s="37"/>
      <c r="BA92" s="36"/>
      <c r="BB92" s="37"/>
      <c r="BC92" s="37"/>
      <c r="BD92" s="37"/>
      <c r="BE92" s="37">
        <f t="shared" si="12"/>
        <v>2.4</v>
      </c>
      <c r="BF92" s="38">
        <f t="shared" si="13"/>
        <v>6</v>
      </c>
      <c r="BG92" s="35">
        <f t="shared" si="14"/>
        <v>14.399999999999999</v>
      </c>
    </row>
    <row r="93" spans="1:59" ht="12.75">
      <c r="A93" s="105">
        <v>4297</v>
      </c>
      <c r="B93" s="106" t="s">
        <v>264</v>
      </c>
      <c r="C93" s="107">
        <v>1.6</v>
      </c>
      <c r="D93" s="108"/>
      <c r="E93" s="108"/>
      <c r="F93" s="109">
        <v>1.6</v>
      </c>
      <c r="G93" s="109">
        <v>1.6</v>
      </c>
      <c r="H93" s="109"/>
      <c r="I93" s="34">
        <f t="shared" si="10"/>
        <v>1.6</v>
      </c>
      <c r="J93" s="35">
        <f t="shared" si="11"/>
        <v>0</v>
      </c>
      <c r="AK93" s="37"/>
      <c r="AL93" s="37"/>
      <c r="AM93" s="37"/>
      <c r="AN93" s="37"/>
      <c r="AO93" s="36"/>
      <c r="AP93" s="37"/>
      <c r="AQ93" s="37"/>
      <c r="AR93" s="37"/>
      <c r="AS93" s="36">
        <v>6.5</v>
      </c>
      <c r="AT93" s="37">
        <v>1.6</v>
      </c>
      <c r="AU93" s="36"/>
      <c r="AV93" s="37"/>
      <c r="AW93" s="36"/>
      <c r="AX93" s="37"/>
      <c r="AY93" s="37"/>
      <c r="AZ93" s="37"/>
      <c r="BA93" s="36"/>
      <c r="BB93" s="37"/>
      <c r="BC93" s="37"/>
      <c r="BD93" s="37"/>
      <c r="BE93" s="37">
        <f t="shared" si="12"/>
        <v>1.6</v>
      </c>
      <c r="BF93" s="38">
        <f t="shared" si="13"/>
        <v>6.5</v>
      </c>
      <c r="BG93" s="35">
        <f t="shared" si="14"/>
        <v>10.4</v>
      </c>
    </row>
    <row r="94" spans="1:59" ht="12.75">
      <c r="A94" s="59"/>
      <c r="B94" s="60" t="s">
        <v>124</v>
      </c>
      <c r="C94" s="61">
        <f>SUM(C8:C93)</f>
        <v>638.0899999999999</v>
      </c>
      <c r="D94" s="61">
        <f>SUM(D8:D93)</f>
        <v>12.73</v>
      </c>
      <c r="E94" s="61"/>
      <c r="F94" s="61">
        <f>SUM(F8:F93)</f>
        <v>650.82</v>
      </c>
      <c r="G94" s="61">
        <f>SUM(G8:G93)</f>
        <v>286.3000000000001</v>
      </c>
      <c r="H94" s="61">
        <f>SUM(H8:H93)</f>
        <v>0</v>
      </c>
      <c r="I94" s="61">
        <f>SUM(I8:I93)</f>
        <v>286.3000000000001</v>
      </c>
      <c r="AI94" s="36"/>
      <c r="AJ94" s="37"/>
      <c r="AK94" s="37"/>
      <c r="AL94" s="37"/>
      <c r="AM94" s="37"/>
      <c r="AN94" s="37"/>
      <c r="AO94" s="36"/>
      <c r="AP94" s="37"/>
      <c r="AQ94" s="37"/>
      <c r="AR94" s="37"/>
      <c r="AS94" s="36"/>
      <c r="AT94" s="37"/>
      <c r="AU94" s="36"/>
      <c r="AV94" s="37"/>
      <c r="AW94" s="36"/>
      <c r="AX94" s="37"/>
      <c r="AY94" s="37"/>
      <c r="AZ94" s="37"/>
      <c r="BB94" s="37"/>
      <c r="BC94" t="s">
        <v>125</v>
      </c>
      <c r="BD94" s="37"/>
      <c r="BE94" s="37"/>
      <c r="BF94" s="38">
        <f>BG94/C94</f>
        <v>5.595405036907018</v>
      </c>
      <c r="BG94" s="35">
        <f>SUM(BG8:BG93)</f>
        <v>3570.371999999999</v>
      </c>
    </row>
    <row r="95" spans="1:58" ht="12.75">
      <c r="A95" s="62"/>
      <c r="B95" s="63"/>
      <c r="C95" s="64"/>
      <c r="D95" s="65"/>
      <c r="E95" s="65"/>
      <c r="F95" s="65"/>
      <c r="G95" s="65"/>
      <c r="H95" s="65"/>
      <c r="I95" s="65"/>
      <c r="AI95" s="36"/>
      <c r="AJ95" s="37"/>
      <c r="AK95" s="37"/>
      <c r="AL95" s="37"/>
      <c r="AM95" s="37"/>
      <c r="AN95" s="37"/>
      <c r="AO95" s="36"/>
      <c r="AP95" s="37"/>
      <c r="AQ95" s="37"/>
      <c r="AR95" s="37"/>
      <c r="AS95" s="36"/>
      <c r="AT95" s="37"/>
      <c r="AU95" s="36"/>
      <c r="AV95" s="37"/>
      <c r="AW95" s="36"/>
      <c r="AX95" s="37"/>
      <c r="AY95" s="37"/>
      <c r="AZ95" s="37"/>
      <c r="BA95" s="36"/>
      <c r="BB95" s="37"/>
      <c r="BC95" s="37"/>
      <c r="BD95" s="37"/>
      <c r="BE95" s="37"/>
      <c r="BF95" s="38"/>
    </row>
    <row r="96" spans="1:58" ht="17.25">
      <c r="A96" s="62"/>
      <c r="B96" s="66" t="s">
        <v>126</v>
      </c>
      <c r="C96" s="67"/>
      <c r="D96" s="68"/>
      <c r="E96" s="68"/>
      <c r="F96" s="4"/>
      <c r="G96" s="4"/>
      <c r="H96" s="4"/>
      <c r="I96" s="4"/>
      <c r="AI96" s="36"/>
      <c r="AJ96" s="37"/>
      <c r="AK96" s="37"/>
      <c r="AL96" s="37"/>
      <c r="AM96" s="37"/>
      <c r="AN96" s="37"/>
      <c r="AO96" s="36"/>
      <c r="AP96" s="37"/>
      <c r="AQ96" s="37"/>
      <c r="AR96" s="37"/>
      <c r="AS96" s="36"/>
      <c r="AT96" s="37"/>
      <c r="AU96" s="36"/>
      <c r="AV96" s="37"/>
      <c r="AW96" s="36"/>
      <c r="AX96" s="37"/>
      <c r="AY96" s="37"/>
      <c r="AZ96" s="37"/>
      <c r="BA96" s="36"/>
      <c r="BB96" s="37"/>
      <c r="BC96" s="37"/>
      <c r="BD96" s="37"/>
      <c r="BE96" s="37"/>
      <c r="BF96" s="38"/>
    </row>
    <row r="97" spans="1:58" ht="12.75">
      <c r="A97" s="69"/>
      <c r="B97" s="12"/>
      <c r="C97" s="70"/>
      <c r="D97" s="27"/>
      <c r="E97" s="27"/>
      <c r="F97" s="71"/>
      <c r="G97" s="71"/>
      <c r="H97" s="71"/>
      <c r="I97" s="71"/>
      <c r="AI97" s="36"/>
      <c r="AJ97" s="37"/>
      <c r="AK97" s="37"/>
      <c r="AL97" s="37"/>
      <c r="AM97" s="37"/>
      <c r="AN97" s="37"/>
      <c r="AO97" s="36"/>
      <c r="AP97" s="37"/>
      <c r="AQ97" s="37"/>
      <c r="AR97" s="37"/>
      <c r="AS97" s="36"/>
      <c r="AT97" s="37"/>
      <c r="AU97" s="36"/>
      <c r="AV97" s="37"/>
      <c r="AW97" s="36"/>
      <c r="AX97" s="37"/>
      <c r="AY97" s="37"/>
      <c r="AZ97" s="37"/>
      <c r="BA97" s="36"/>
      <c r="BB97" s="37"/>
      <c r="BC97" s="37"/>
      <c r="BD97" s="37"/>
      <c r="BE97" s="37"/>
      <c r="BF97" s="38"/>
    </row>
    <row r="98" spans="1:58" ht="12.75">
      <c r="A98" s="29">
        <v>40068</v>
      </c>
      <c r="B98" s="30" t="s">
        <v>127</v>
      </c>
      <c r="C98" s="31">
        <v>0</v>
      </c>
      <c r="D98" s="32">
        <v>5.58</v>
      </c>
      <c r="E98" s="32"/>
      <c r="F98" s="33">
        <v>5.58</v>
      </c>
      <c r="G98" s="33"/>
      <c r="H98" s="33"/>
      <c r="I98" s="34">
        <f aca="true" t="shared" si="15" ref="I98:I129">G98+H98</f>
        <v>0</v>
      </c>
      <c r="J98" s="35">
        <f aca="true" t="shared" si="16" ref="J98:J129">C98-BE98</f>
        <v>0</v>
      </c>
      <c r="AI98" s="36"/>
      <c r="AJ98" s="37"/>
      <c r="AK98" s="37"/>
      <c r="AL98" s="37"/>
      <c r="AM98" s="37"/>
      <c r="AN98" s="37"/>
      <c r="AO98" s="36"/>
      <c r="AP98" s="37"/>
      <c r="AQ98" s="37"/>
      <c r="AR98" s="37"/>
      <c r="AS98" s="36"/>
      <c r="AT98" s="37"/>
      <c r="AU98" s="36"/>
      <c r="AV98" s="37"/>
      <c r="AW98" s="36"/>
      <c r="AX98" s="37"/>
      <c r="AY98" s="37"/>
      <c r="AZ98" s="37"/>
      <c r="BA98" s="36"/>
      <c r="BB98" s="37"/>
      <c r="BC98" s="37"/>
      <c r="BD98" s="37"/>
      <c r="BE98" s="37"/>
      <c r="BF98" s="38"/>
    </row>
    <row r="99" spans="1:59" ht="24.75">
      <c r="A99" s="29">
        <v>40080</v>
      </c>
      <c r="B99" s="30" t="s">
        <v>128</v>
      </c>
      <c r="C99" s="31">
        <v>2.99</v>
      </c>
      <c r="D99" s="32">
        <v>7.59</v>
      </c>
      <c r="E99" s="32"/>
      <c r="F99" s="33">
        <v>10.58</v>
      </c>
      <c r="G99" s="33">
        <v>0</v>
      </c>
      <c r="H99" s="33"/>
      <c r="I99" s="34">
        <f t="shared" si="15"/>
        <v>0</v>
      </c>
      <c r="J99" s="35">
        <f t="shared" si="16"/>
        <v>0</v>
      </c>
      <c r="AC99" s="36">
        <v>5</v>
      </c>
      <c r="AD99" s="37">
        <v>1.45</v>
      </c>
      <c r="AI99" s="36">
        <v>5.5</v>
      </c>
      <c r="AJ99" s="37">
        <v>1.54</v>
      </c>
      <c r="AK99" s="37"/>
      <c r="AL99" s="37"/>
      <c r="AM99" s="37"/>
      <c r="AN99" s="37"/>
      <c r="AQ99" s="37"/>
      <c r="AR99" s="37"/>
      <c r="AS99" s="36"/>
      <c r="AT99" s="37"/>
      <c r="AU99" s="36"/>
      <c r="AV99" s="37"/>
      <c r="AW99" s="36"/>
      <c r="AX99" s="37"/>
      <c r="AY99" s="37"/>
      <c r="AZ99" s="37"/>
      <c r="BA99" s="36"/>
      <c r="BB99" s="37"/>
      <c r="BC99" s="37"/>
      <c r="BD99" s="37"/>
      <c r="BE99" s="37">
        <f aca="true" t="shared" si="17" ref="BE99:BE107">L99+N99+P99+R99+T99+V99+X99+Z99+AB99+AD99+AF99+AH99+AJ99+AL99+AN99+AP99+AR99+AT99+AV99+AX99+AZ99+BB99+BD99</f>
        <v>2.99</v>
      </c>
      <c r="BF99" s="38">
        <f aca="true" t="shared" si="18" ref="BF99:BF107">(K99*L99+M99*N99+O99*P99+Q99*R99+S99*T99+U99*V99+W99*X99+Y99*Z99+AA99*AB99+AC99*AD99+AE99*AF99+AG99*AH99+AI99*AJ99+AK99*AL99+AM99*AN99+AO99*AP99+AQ99*AR99+AS99*AT99+AU99*AV99+AW99*AX99+AY99*AZ99+BA99*BB99+BC99*BD99)/BE99</f>
        <v>5.25752508361204</v>
      </c>
      <c r="BG99" s="35">
        <f aca="true" t="shared" si="19" ref="BG99:BG130">BF99*BE99</f>
        <v>15.72</v>
      </c>
    </row>
    <row r="100" spans="1:59" ht="12.75">
      <c r="A100" s="29">
        <v>44001</v>
      </c>
      <c r="B100" s="30" t="s">
        <v>130</v>
      </c>
      <c r="C100" s="31">
        <v>2</v>
      </c>
      <c r="D100" s="32"/>
      <c r="E100" s="32"/>
      <c r="F100" s="33">
        <v>2</v>
      </c>
      <c r="G100" s="33">
        <v>0.8</v>
      </c>
      <c r="H100" s="33"/>
      <c r="I100" s="34">
        <f t="shared" si="15"/>
        <v>0.8</v>
      </c>
      <c r="J100" s="35">
        <f t="shared" si="16"/>
        <v>0</v>
      </c>
      <c r="AC100" s="36">
        <v>5</v>
      </c>
      <c r="AD100" s="37">
        <v>2</v>
      </c>
      <c r="AK100" s="37"/>
      <c r="AL100" s="37"/>
      <c r="AM100" s="37"/>
      <c r="AN100" s="37"/>
      <c r="AO100" s="36"/>
      <c r="AP100" s="37"/>
      <c r="AQ100" s="37"/>
      <c r="AR100" s="37"/>
      <c r="AS100" s="36"/>
      <c r="AT100" s="37"/>
      <c r="AU100" s="36"/>
      <c r="AV100" s="37"/>
      <c r="AW100" s="36"/>
      <c r="AX100" s="37"/>
      <c r="AY100" s="37"/>
      <c r="AZ100" s="37"/>
      <c r="BA100" s="36"/>
      <c r="BB100" s="37"/>
      <c r="BC100" s="37"/>
      <c r="BD100" s="37"/>
      <c r="BE100" s="37">
        <f t="shared" si="17"/>
        <v>2</v>
      </c>
      <c r="BF100" s="38">
        <f t="shared" si="18"/>
        <v>5</v>
      </c>
      <c r="BG100" s="35">
        <f t="shared" si="19"/>
        <v>10</v>
      </c>
    </row>
    <row r="101" spans="1:59" ht="12.75">
      <c r="A101" s="29">
        <v>44005</v>
      </c>
      <c r="B101" s="30" t="s">
        <v>131</v>
      </c>
      <c r="C101" s="31">
        <v>1.5</v>
      </c>
      <c r="D101" s="32"/>
      <c r="E101" s="32"/>
      <c r="F101" s="33">
        <v>1.5</v>
      </c>
      <c r="G101" s="33">
        <v>1.1</v>
      </c>
      <c r="H101" s="33"/>
      <c r="I101" s="34">
        <f t="shared" si="15"/>
        <v>1.1</v>
      </c>
      <c r="J101" s="35">
        <f t="shared" si="16"/>
        <v>0</v>
      </c>
      <c r="Q101" s="36">
        <v>4</v>
      </c>
      <c r="R101" s="37">
        <v>1.5</v>
      </c>
      <c r="S101" s="37"/>
      <c r="T101" s="37"/>
      <c r="U101" s="37"/>
      <c r="V101" s="37"/>
      <c r="W101" s="37"/>
      <c r="X101" s="37"/>
      <c r="AK101" s="37"/>
      <c r="AL101" s="37"/>
      <c r="AM101" s="37"/>
      <c r="AN101" s="37"/>
      <c r="AO101" s="36"/>
      <c r="AP101" s="37"/>
      <c r="AQ101" s="37"/>
      <c r="AR101" s="37"/>
      <c r="AS101" s="36"/>
      <c r="AT101" s="37"/>
      <c r="AU101" s="36"/>
      <c r="AV101" s="37"/>
      <c r="AW101" s="36"/>
      <c r="AX101" s="37"/>
      <c r="AY101" s="37"/>
      <c r="AZ101" s="37"/>
      <c r="BA101" s="36"/>
      <c r="BB101" s="37"/>
      <c r="BC101" s="37"/>
      <c r="BD101" s="37"/>
      <c r="BE101" s="37">
        <f t="shared" si="17"/>
        <v>1.5</v>
      </c>
      <c r="BF101" s="38">
        <f t="shared" si="18"/>
        <v>4</v>
      </c>
      <c r="BG101" s="35">
        <f t="shared" si="19"/>
        <v>6</v>
      </c>
    </row>
    <row r="102" spans="1:59" ht="12.75">
      <c r="A102" s="29">
        <v>44006</v>
      </c>
      <c r="B102" s="30" t="s">
        <v>132</v>
      </c>
      <c r="C102" s="31">
        <v>4.3</v>
      </c>
      <c r="D102" s="32"/>
      <c r="E102" s="32"/>
      <c r="F102" s="33">
        <v>4.3</v>
      </c>
      <c r="G102" s="33">
        <v>2</v>
      </c>
      <c r="H102" s="33"/>
      <c r="I102" s="34">
        <f t="shared" si="15"/>
        <v>2</v>
      </c>
      <c r="J102" s="35">
        <f t="shared" si="16"/>
        <v>0</v>
      </c>
      <c r="Q102" s="36">
        <v>4</v>
      </c>
      <c r="R102" s="37">
        <v>3.2</v>
      </c>
      <c r="S102" s="37"/>
      <c r="T102" s="37"/>
      <c r="U102" s="37"/>
      <c r="V102" s="37"/>
      <c r="W102" s="37"/>
      <c r="X102" s="37"/>
      <c r="AI102" s="36">
        <v>5.5</v>
      </c>
      <c r="AJ102" s="37">
        <v>1.1</v>
      </c>
      <c r="AK102" s="37"/>
      <c r="AL102" s="37"/>
      <c r="AM102" s="37"/>
      <c r="AN102" s="37"/>
      <c r="AQ102" s="37"/>
      <c r="AR102" s="37"/>
      <c r="AS102" s="36"/>
      <c r="AT102" s="37"/>
      <c r="AU102" s="36"/>
      <c r="AV102" s="37"/>
      <c r="AW102" s="36"/>
      <c r="AX102" s="37"/>
      <c r="AY102" s="37"/>
      <c r="AZ102" s="37"/>
      <c r="BA102" s="36"/>
      <c r="BB102" s="37"/>
      <c r="BC102" s="37"/>
      <c r="BD102" s="37"/>
      <c r="BE102" s="37">
        <f t="shared" si="17"/>
        <v>4.300000000000001</v>
      </c>
      <c r="BF102" s="38">
        <f t="shared" si="18"/>
        <v>4.383720930232558</v>
      </c>
      <c r="BG102" s="35">
        <f t="shared" si="19"/>
        <v>18.85</v>
      </c>
    </row>
    <row r="103" spans="1:59" ht="12.75">
      <c r="A103" s="29">
        <v>44007</v>
      </c>
      <c r="B103" s="30" t="s">
        <v>133</v>
      </c>
      <c r="C103" s="31">
        <v>0.6</v>
      </c>
      <c r="D103" s="32"/>
      <c r="E103" s="32"/>
      <c r="F103" s="33">
        <v>0.6</v>
      </c>
      <c r="G103" s="33">
        <v>0.6000000000000001</v>
      </c>
      <c r="H103" s="33"/>
      <c r="I103" s="34">
        <f t="shared" si="15"/>
        <v>0.6000000000000001</v>
      </c>
      <c r="J103" s="35">
        <f t="shared" si="16"/>
        <v>0</v>
      </c>
      <c r="AC103" s="36">
        <v>5</v>
      </c>
      <c r="AD103" s="37">
        <v>0.6000000000000001</v>
      </c>
      <c r="AK103" s="37"/>
      <c r="AL103" s="37"/>
      <c r="AM103" s="37"/>
      <c r="AN103" s="37"/>
      <c r="AO103" s="36"/>
      <c r="AP103" s="37"/>
      <c r="AQ103" s="37"/>
      <c r="AR103" s="37"/>
      <c r="AS103" s="36"/>
      <c r="AT103" s="37"/>
      <c r="AU103" s="36"/>
      <c r="AV103" s="37"/>
      <c r="AW103" s="36"/>
      <c r="AX103" s="37"/>
      <c r="AY103" s="37"/>
      <c r="AZ103" s="37"/>
      <c r="BA103" s="36"/>
      <c r="BB103" s="37"/>
      <c r="BC103" s="37"/>
      <c r="BD103" s="37"/>
      <c r="BE103" s="37">
        <f t="shared" si="17"/>
        <v>0.6000000000000001</v>
      </c>
      <c r="BF103" s="38">
        <f t="shared" si="18"/>
        <v>5</v>
      </c>
      <c r="BG103" s="35">
        <f t="shared" si="19"/>
        <v>3.0000000000000004</v>
      </c>
    </row>
    <row r="104" spans="1:59" ht="24.75">
      <c r="A104" s="29">
        <v>44010</v>
      </c>
      <c r="B104" s="30" t="s">
        <v>134</v>
      </c>
      <c r="C104" s="31">
        <v>8.1</v>
      </c>
      <c r="D104" s="32">
        <v>1.6</v>
      </c>
      <c r="E104" s="32"/>
      <c r="F104" s="33">
        <v>9.700000000000001</v>
      </c>
      <c r="G104" s="33">
        <v>4.24</v>
      </c>
      <c r="H104" s="33"/>
      <c r="I104" s="34">
        <f t="shared" si="15"/>
        <v>4.24</v>
      </c>
      <c r="J104" s="35">
        <f t="shared" si="16"/>
        <v>0</v>
      </c>
      <c r="AI104" s="36">
        <v>5.5</v>
      </c>
      <c r="AJ104" s="37">
        <v>8.1</v>
      </c>
      <c r="AK104" s="37"/>
      <c r="AL104" s="37"/>
      <c r="AM104" s="37"/>
      <c r="AN104" s="37"/>
      <c r="AO104" s="36"/>
      <c r="AP104" s="37"/>
      <c r="AQ104" s="37"/>
      <c r="AR104" s="37"/>
      <c r="AS104" s="36"/>
      <c r="AT104" s="37"/>
      <c r="AU104" s="36"/>
      <c r="AV104" s="37"/>
      <c r="AW104" s="36"/>
      <c r="AX104" s="37"/>
      <c r="AY104" s="37"/>
      <c r="AZ104" s="37"/>
      <c r="BA104" s="36"/>
      <c r="BB104" s="37"/>
      <c r="BC104" s="37"/>
      <c r="BD104" s="37"/>
      <c r="BE104" s="37">
        <f t="shared" si="17"/>
        <v>8.1</v>
      </c>
      <c r="BF104" s="38">
        <f t="shared" si="18"/>
        <v>5.5</v>
      </c>
      <c r="BG104" s="35">
        <f t="shared" si="19"/>
        <v>44.55</v>
      </c>
    </row>
    <row r="105" spans="1:59" ht="22.5">
      <c r="A105" s="29">
        <v>44011</v>
      </c>
      <c r="B105" s="30" t="s">
        <v>135</v>
      </c>
      <c r="C105" s="31">
        <v>8.4</v>
      </c>
      <c r="D105" s="32"/>
      <c r="E105" s="32"/>
      <c r="F105" s="33">
        <v>8.4</v>
      </c>
      <c r="G105" s="33">
        <v>1.56</v>
      </c>
      <c r="H105" s="33"/>
      <c r="I105" s="34">
        <f t="shared" si="15"/>
        <v>1.56</v>
      </c>
      <c r="J105" s="35">
        <f t="shared" si="16"/>
        <v>0</v>
      </c>
      <c r="W105" s="36">
        <v>4.4</v>
      </c>
      <c r="X105" s="37">
        <v>7.5</v>
      </c>
      <c r="AC105" s="36">
        <v>5</v>
      </c>
      <c r="AD105" s="37">
        <v>0.7</v>
      </c>
      <c r="AK105" s="37"/>
      <c r="AL105" s="37"/>
      <c r="AM105" s="37"/>
      <c r="AN105" s="37"/>
      <c r="AO105" s="36">
        <v>6</v>
      </c>
      <c r="AP105" s="37">
        <v>0.2</v>
      </c>
      <c r="AQ105" s="37"/>
      <c r="AR105" s="37"/>
      <c r="AU105" s="36"/>
      <c r="AV105" s="37"/>
      <c r="AW105" s="36"/>
      <c r="AX105" s="37"/>
      <c r="AY105" s="37"/>
      <c r="AZ105" s="37"/>
      <c r="BA105" s="36"/>
      <c r="BB105" s="37"/>
      <c r="BC105" s="37"/>
      <c r="BD105" s="37"/>
      <c r="BE105" s="37">
        <f t="shared" si="17"/>
        <v>8.399999999999999</v>
      </c>
      <c r="BF105" s="38">
        <f t="shared" si="18"/>
        <v>4.488095238095239</v>
      </c>
      <c r="BG105" s="35">
        <f t="shared" si="19"/>
        <v>37.7</v>
      </c>
    </row>
    <row r="106" spans="1:59" ht="12.75">
      <c r="A106" s="29">
        <v>44013</v>
      </c>
      <c r="B106" s="30" t="s">
        <v>136</v>
      </c>
      <c r="C106" s="31">
        <v>0.15</v>
      </c>
      <c r="D106" s="32">
        <v>7.25</v>
      </c>
      <c r="E106" s="32"/>
      <c r="F106" s="33">
        <v>7.4</v>
      </c>
      <c r="G106" s="33">
        <v>0.65</v>
      </c>
      <c r="H106" s="33"/>
      <c r="I106" s="34">
        <f t="shared" si="15"/>
        <v>0.65</v>
      </c>
      <c r="J106" s="35">
        <f t="shared" si="16"/>
        <v>0</v>
      </c>
      <c r="Q106" s="36">
        <v>4</v>
      </c>
      <c r="R106" s="37">
        <v>0.15</v>
      </c>
      <c r="S106" s="37"/>
      <c r="T106" s="37"/>
      <c r="U106" s="37"/>
      <c r="V106" s="37"/>
      <c r="AK106" s="37"/>
      <c r="AL106" s="37"/>
      <c r="AM106" s="37"/>
      <c r="AN106" s="37"/>
      <c r="AO106" s="36"/>
      <c r="AP106" s="37"/>
      <c r="AQ106" s="37"/>
      <c r="AR106" s="37"/>
      <c r="AS106" s="36"/>
      <c r="AT106" s="37"/>
      <c r="AU106" s="36"/>
      <c r="AV106" s="37"/>
      <c r="AW106" s="36"/>
      <c r="AX106" s="37"/>
      <c r="AY106" s="37"/>
      <c r="AZ106" s="37"/>
      <c r="BA106" s="36"/>
      <c r="BB106" s="37"/>
      <c r="BC106" s="37"/>
      <c r="BD106" s="37"/>
      <c r="BE106" s="37">
        <f t="shared" si="17"/>
        <v>0.15</v>
      </c>
      <c r="BF106" s="38">
        <f t="shared" si="18"/>
        <v>4</v>
      </c>
      <c r="BG106" s="35">
        <f t="shared" si="19"/>
        <v>0.6</v>
      </c>
    </row>
    <row r="107" spans="1:59" ht="12.75">
      <c r="A107" s="29">
        <v>44014</v>
      </c>
      <c r="B107" s="30" t="s">
        <v>265</v>
      </c>
      <c r="C107" s="31">
        <v>3.4</v>
      </c>
      <c r="D107" s="32"/>
      <c r="E107" s="32"/>
      <c r="F107" s="33">
        <v>3.4</v>
      </c>
      <c r="G107" s="33">
        <v>1.5</v>
      </c>
      <c r="H107" s="33"/>
      <c r="I107" s="34">
        <f t="shared" si="15"/>
        <v>1.5</v>
      </c>
      <c r="J107" s="35">
        <f t="shared" si="16"/>
        <v>0</v>
      </c>
      <c r="AI107" s="36">
        <v>5.5</v>
      </c>
      <c r="AJ107" s="37">
        <v>3.4</v>
      </c>
      <c r="AK107" s="37"/>
      <c r="AL107" s="37"/>
      <c r="AM107" s="37"/>
      <c r="AN107" s="37"/>
      <c r="AO107" s="36"/>
      <c r="AP107" s="37"/>
      <c r="AQ107" s="37"/>
      <c r="AR107" s="37"/>
      <c r="AS107" s="36"/>
      <c r="AT107" s="37"/>
      <c r="AU107" s="36"/>
      <c r="AV107" s="37"/>
      <c r="AW107" s="36"/>
      <c r="AX107" s="37"/>
      <c r="AY107" s="37"/>
      <c r="AZ107" s="37"/>
      <c r="BA107" s="36"/>
      <c r="BB107" s="37"/>
      <c r="BC107" s="37"/>
      <c r="BD107" s="37"/>
      <c r="BE107" s="37">
        <f t="shared" si="17"/>
        <v>3.4</v>
      </c>
      <c r="BF107" s="38">
        <f t="shared" si="18"/>
        <v>5.5</v>
      </c>
      <c r="BG107" s="35">
        <f t="shared" si="19"/>
        <v>18.7</v>
      </c>
    </row>
    <row r="108" spans="1:59" ht="12.75">
      <c r="A108" s="29">
        <v>44015</v>
      </c>
      <c r="B108" s="30" t="s">
        <v>138</v>
      </c>
      <c r="C108" s="31">
        <v>0</v>
      </c>
      <c r="D108" s="32">
        <v>4.7</v>
      </c>
      <c r="E108" s="32"/>
      <c r="F108" s="33">
        <v>4.7</v>
      </c>
      <c r="G108" s="33">
        <v>1.13</v>
      </c>
      <c r="H108" s="33">
        <v>0</v>
      </c>
      <c r="I108" s="34">
        <f t="shared" si="15"/>
        <v>1.13</v>
      </c>
      <c r="J108" s="35">
        <f t="shared" si="16"/>
        <v>0</v>
      </c>
      <c r="AI108" s="36"/>
      <c r="AJ108" s="37"/>
      <c r="AK108" s="37"/>
      <c r="AL108" s="37"/>
      <c r="AM108" s="37"/>
      <c r="AN108" s="37"/>
      <c r="AO108" s="36"/>
      <c r="AP108" s="37"/>
      <c r="AQ108" s="37"/>
      <c r="AR108" s="37"/>
      <c r="AS108" s="36"/>
      <c r="AT108" s="37"/>
      <c r="AU108" s="36"/>
      <c r="AV108" s="37"/>
      <c r="AW108" s="36"/>
      <c r="AX108" s="37"/>
      <c r="AY108" s="37"/>
      <c r="AZ108" s="37"/>
      <c r="BA108" s="36"/>
      <c r="BB108" s="37"/>
      <c r="BC108" s="37"/>
      <c r="BD108" s="37"/>
      <c r="BE108" s="37">
        <f>AJ108+AP108+AT108+AV108+AX108+BB108</f>
        <v>0</v>
      </c>
      <c r="BF108" s="38"/>
      <c r="BG108" s="35">
        <f t="shared" si="19"/>
        <v>0</v>
      </c>
    </row>
    <row r="109" spans="1:59" ht="22.5">
      <c r="A109" s="29">
        <v>44016</v>
      </c>
      <c r="B109" s="30" t="s">
        <v>266</v>
      </c>
      <c r="C109" s="31">
        <v>2.47</v>
      </c>
      <c r="D109" s="32">
        <f>3.45-1.2-0.5+0.18</f>
        <v>1.93</v>
      </c>
      <c r="E109" s="32"/>
      <c r="F109" s="33">
        <v>4.4</v>
      </c>
      <c r="G109" s="33">
        <v>1.06</v>
      </c>
      <c r="H109" s="33"/>
      <c r="I109" s="34">
        <f t="shared" si="15"/>
        <v>1.06</v>
      </c>
      <c r="J109" s="35">
        <f t="shared" si="16"/>
        <v>0</v>
      </c>
      <c r="AC109" s="36">
        <v>5</v>
      </c>
      <c r="AD109" s="37">
        <v>0.5</v>
      </c>
      <c r="AI109" s="36">
        <v>5.5</v>
      </c>
      <c r="AJ109" s="37">
        <v>1.97</v>
      </c>
      <c r="AK109" s="37"/>
      <c r="AL109" s="37"/>
      <c r="AM109" s="37"/>
      <c r="AN109" s="37"/>
      <c r="AQ109" s="37"/>
      <c r="AR109" s="37"/>
      <c r="AS109" s="36"/>
      <c r="AT109" s="37"/>
      <c r="AU109" s="36"/>
      <c r="AV109" s="37"/>
      <c r="AW109" s="36"/>
      <c r="AX109" s="37"/>
      <c r="AY109" s="37"/>
      <c r="AZ109" s="37"/>
      <c r="BA109" s="36"/>
      <c r="BB109" s="37"/>
      <c r="BC109" s="37"/>
      <c r="BD109" s="37"/>
      <c r="BE109" s="37">
        <f>L109+N109+P109+R109+T109+V109+X109+Z109+AB109+AD109+AF109+AH109+AJ109+AL109+AN109+AP109+AR109+AT109+AV109+AX109+AZ109+BB109+BD109</f>
        <v>2.4699999999999998</v>
      </c>
      <c r="BF109" s="38">
        <f>(K109*L109+M109*N109+O109*P109+Q109*R109+S109*T109+U109*V109+W109*X109+Y109*Z109+AA109*AB109+AC109*AD109+AE109*AF109+AG109*AH109+AI109*AJ109+AK109*AL109+AM109*AN109+AO109*AP109+AQ109*AR109+AS109*AT109+AU109*AV109+AW109*AX109+AY109*AZ109+BA109*BB109+BC109*BD109)/BE109</f>
        <v>5.398785425101215</v>
      </c>
      <c r="BG109" s="35">
        <f t="shared" si="19"/>
        <v>13.334999999999999</v>
      </c>
    </row>
    <row r="110" spans="1:59" ht="12.75">
      <c r="A110" s="29">
        <v>44017</v>
      </c>
      <c r="B110" s="30" t="s">
        <v>140</v>
      </c>
      <c r="C110" s="31">
        <v>2.3</v>
      </c>
      <c r="D110" s="32"/>
      <c r="E110" s="32"/>
      <c r="F110" s="33">
        <v>2.3</v>
      </c>
      <c r="G110" s="33">
        <v>1.67</v>
      </c>
      <c r="H110" s="33"/>
      <c r="I110" s="34">
        <f t="shared" si="15"/>
        <v>1.67</v>
      </c>
      <c r="J110" s="35">
        <f t="shared" si="16"/>
        <v>0</v>
      </c>
      <c r="AI110" s="36">
        <v>5.5</v>
      </c>
      <c r="AJ110" s="37">
        <v>2.3</v>
      </c>
      <c r="AK110" s="37"/>
      <c r="AL110" s="37"/>
      <c r="AM110" s="37"/>
      <c r="AN110" s="37"/>
      <c r="AO110" s="36"/>
      <c r="AP110" s="37"/>
      <c r="AQ110" s="37"/>
      <c r="AR110" s="37"/>
      <c r="AS110" s="36"/>
      <c r="AT110" s="37"/>
      <c r="AU110" s="36"/>
      <c r="AV110" s="37"/>
      <c r="AW110" s="36"/>
      <c r="AX110" s="37"/>
      <c r="AY110" s="37"/>
      <c r="AZ110" s="37"/>
      <c r="BA110" s="36"/>
      <c r="BB110" s="37"/>
      <c r="BC110" s="37"/>
      <c r="BD110" s="37"/>
      <c r="BE110" s="37">
        <f>L110+N110+P110+R110+T110+V110+X110+Z110+AB110+AD110+AF110+AH110+AJ110+AL110+AN110+AP110+AR110+AT110+AV110+AX110+AZ110+BB110+BD110</f>
        <v>2.3</v>
      </c>
      <c r="BF110" s="38">
        <f>(K110*L110+M110*N110+O110*P110+Q110*R110+S110*T110+U110*V110+W110*X110+Y110*Z110+AA110*AB110+AC110*AD110+AE110*AF110+AG110*AH110+AI110*AJ110+AK110*AL110+AM110*AN110+AO110*AP110+AQ110*AR110+AS110*AT110+AU110*AV110+AW110*AX110+AY110*AZ110+BA110*BB110+BC110*BD110)/BE110</f>
        <v>5.5</v>
      </c>
      <c r="BG110" s="35">
        <f t="shared" si="19"/>
        <v>12.649999999999999</v>
      </c>
    </row>
    <row r="111" spans="1:59" ht="12.75">
      <c r="A111" s="29">
        <v>44018</v>
      </c>
      <c r="B111" s="30" t="s">
        <v>141</v>
      </c>
      <c r="C111" s="31">
        <v>0</v>
      </c>
      <c r="D111" s="32">
        <v>4.7</v>
      </c>
      <c r="E111" s="32"/>
      <c r="F111" s="33">
        <v>4.7</v>
      </c>
      <c r="G111" s="33"/>
      <c r="H111" s="33"/>
      <c r="I111" s="34">
        <f t="shared" si="15"/>
        <v>0</v>
      </c>
      <c r="J111" s="35">
        <f t="shared" si="16"/>
        <v>0</v>
      </c>
      <c r="AI111" s="36"/>
      <c r="AJ111" s="37"/>
      <c r="AK111" s="37"/>
      <c r="AL111" s="37"/>
      <c r="AM111" s="37"/>
      <c r="AN111" s="37"/>
      <c r="AO111" s="36"/>
      <c r="AP111" s="37"/>
      <c r="AQ111" s="37"/>
      <c r="AR111" s="37"/>
      <c r="AS111" s="36"/>
      <c r="AT111" s="37"/>
      <c r="AU111" s="36"/>
      <c r="AV111" s="37"/>
      <c r="AW111" s="36"/>
      <c r="AX111" s="37"/>
      <c r="AY111" s="37"/>
      <c r="AZ111" s="37"/>
      <c r="BA111" s="36"/>
      <c r="BB111" s="37"/>
      <c r="BC111" s="37"/>
      <c r="BD111" s="37"/>
      <c r="BE111" s="37">
        <f>AJ111+AP111+AT111+AV111+AX111+BB111</f>
        <v>0</v>
      </c>
      <c r="BF111" s="38"/>
      <c r="BG111" s="35">
        <f t="shared" si="19"/>
        <v>0</v>
      </c>
    </row>
    <row r="112" spans="1:59" ht="12.75">
      <c r="A112" s="29">
        <v>44019</v>
      </c>
      <c r="B112" s="30" t="s">
        <v>142</v>
      </c>
      <c r="C112" s="31">
        <v>4.2</v>
      </c>
      <c r="D112" s="32"/>
      <c r="E112" s="32"/>
      <c r="F112" s="33">
        <v>4.2</v>
      </c>
      <c r="G112" s="33">
        <v>1.99</v>
      </c>
      <c r="H112" s="33"/>
      <c r="I112" s="34">
        <f t="shared" si="15"/>
        <v>1.99</v>
      </c>
      <c r="J112" s="35">
        <f t="shared" si="16"/>
        <v>0</v>
      </c>
      <c r="AC112" s="36">
        <v>5</v>
      </c>
      <c r="AD112" s="37">
        <v>1.2</v>
      </c>
      <c r="AI112" s="36">
        <v>5.5</v>
      </c>
      <c r="AJ112" s="37">
        <v>3</v>
      </c>
      <c r="AK112" s="37"/>
      <c r="AL112" s="37"/>
      <c r="AM112" s="37"/>
      <c r="AN112" s="37"/>
      <c r="AQ112" s="37"/>
      <c r="AR112" s="37"/>
      <c r="AS112" s="36"/>
      <c r="AT112" s="37"/>
      <c r="AU112" s="36"/>
      <c r="AV112" s="37"/>
      <c r="AW112" s="36"/>
      <c r="AX112" s="37"/>
      <c r="AY112" s="37"/>
      <c r="AZ112" s="37"/>
      <c r="BA112" s="36"/>
      <c r="BB112" s="37"/>
      <c r="BC112" s="37"/>
      <c r="BD112" s="37"/>
      <c r="BE112" s="37">
        <f aca="true" t="shared" si="20" ref="BE112:BE137">L112+N112+P112+R112+T112+V112+X112+Z112+AB112+AD112+AF112+AH112+AJ112+AL112+AN112+AP112+AR112+AT112+AV112+AX112+AZ112+BB112+BD112</f>
        <v>4.2</v>
      </c>
      <c r="BF112" s="38">
        <f aca="true" t="shared" si="21" ref="BF112:BF137">(K112*L112+M112*N112+O112*P112+Q112*R112+S112*T112+U112*V112+W112*X112+Y112*Z112+AA112*AB112+AC112*AD112+AE112*AF112+AG112*AH112+AI112*AJ112+AK112*AL112+AM112*AN112+AO112*AP112+AQ112*AR112+AS112*AT112+AU112*AV112+AW112*AX112+AY112*AZ112+BA112*BB112+BC112*BD112)/BE112</f>
        <v>5.357142857142857</v>
      </c>
      <c r="BG112" s="35">
        <f t="shared" si="19"/>
        <v>22.5</v>
      </c>
    </row>
    <row r="113" spans="1:59" ht="12.75">
      <c r="A113" s="29">
        <v>44020</v>
      </c>
      <c r="B113" s="30" t="s">
        <v>267</v>
      </c>
      <c r="C113" s="31">
        <v>11.9</v>
      </c>
      <c r="D113" s="72"/>
      <c r="E113" s="72"/>
      <c r="F113" s="33">
        <v>11.9</v>
      </c>
      <c r="G113" s="33">
        <v>2.77</v>
      </c>
      <c r="H113" s="33"/>
      <c r="I113" s="34">
        <f t="shared" si="15"/>
        <v>2.77</v>
      </c>
      <c r="J113" s="35">
        <f t="shared" si="16"/>
        <v>0</v>
      </c>
      <c r="Q113" s="36">
        <v>4</v>
      </c>
      <c r="R113" s="37">
        <v>3.5</v>
      </c>
      <c r="S113" s="37"/>
      <c r="T113" s="37"/>
      <c r="U113" s="37"/>
      <c r="V113" s="37"/>
      <c r="AC113" s="36">
        <v>5</v>
      </c>
      <c r="AD113" s="37">
        <v>8.4</v>
      </c>
      <c r="AK113" s="37"/>
      <c r="AL113" s="37"/>
      <c r="AM113" s="37"/>
      <c r="AN113" s="37"/>
      <c r="AQ113" s="37"/>
      <c r="AR113" s="37"/>
      <c r="AS113" s="36"/>
      <c r="AT113" s="37"/>
      <c r="AU113" s="36"/>
      <c r="AV113" s="37"/>
      <c r="AW113" s="36"/>
      <c r="AX113" s="37"/>
      <c r="AY113" s="37"/>
      <c r="AZ113" s="37"/>
      <c r="BA113" s="36"/>
      <c r="BB113" s="37"/>
      <c r="BC113" s="37"/>
      <c r="BD113" s="37"/>
      <c r="BE113" s="37">
        <f t="shared" si="20"/>
        <v>11.9</v>
      </c>
      <c r="BF113" s="38">
        <f t="shared" si="21"/>
        <v>4.705882352941177</v>
      </c>
      <c r="BG113" s="35">
        <f t="shared" si="19"/>
        <v>56</v>
      </c>
    </row>
    <row r="114" spans="1:59" ht="12.75">
      <c r="A114" s="29">
        <v>44021</v>
      </c>
      <c r="B114" s="30" t="s">
        <v>144</v>
      </c>
      <c r="C114" s="31">
        <v>5.5</v>
      </c>
      <c r="D114" s="32"/>
      <c r="E114" s="32"/>
      <c r="F114" s="33">
        <v>5.5</v>
      </c>
      <c r="G114" s="33">
        <v>1.6</v>
      </c>
      <c r="H114" s="33"/>
      <c r="I114" s="34">
        <f t="shared" si="15"/>
        <v>1.6</v>
      </c>
      <c r="J114" s="35">
        <f t="shared" si="16"/>
        <v>0</v>
      </c>
      <c r="AC114" s="36">
        <v>5</v>
      </c>
      <c r="AD114" s="37">
        <v>5.5</v>
      </c>
      <c r="AK114" s="37"/>
      <c r="AL114" s="37"/>
      <c r="AM114" s="37"/>
      <c r="AN114" s="37"/>
      <c r="AO114" s="36"/>
      <c r="AP114" s="37"/>
      <c r="AQ114" s="37"/>
      <c r="AR114" s="37"/>
      <c r="AS114" s="36"/>
      <c r="AT114" s="37"/>
      <c r="AU114" s="36"/>
      <c r="AV114" s="37"/>
      <c r="AW114" s="36"/>
      <c r="AX114" s="37"/>
      <c r="AY114" s="37"/>
      <c r="AZ114" s="37"/>
      <c r="BA114" s="36"/>
      <c r="BB114" s="37"/>
      <c r="BC114" s="37"/>
      <c r="BD114" s="37"/>
      <c r="BE114" s="37">
        <f t="shared" si="20"/>
        <v>5.5</v>
      </c>
      <c r="BF114" s="38">
        <f t="shared" si="21"/>
        <v>5</v>
      </c>
      <c r="BG114" s="35">
        <f t="shared" si="19"/>
        <v>27.5</v>
      </c>
    </row>
    <row r="115" spans="1:59" ht="12.75">
      <c r="A115" s="29">
        <v>44022</v>
      </c>
      <c r="B115" s="30" t="s">
        <v>145</v>
      </c>
      <c r="C115" s="31">
        <v>1.6</v>
      </c>
      <c r="D115" s="32"/>
      <c r="E115" s="32"/>
      <c r="F115" s="33">
        <v>1.6</v>
      </c>
      <c r="G115" s="33">
        <v>1.6</v>
      </c>
      <c r="H115" s="33"/>
      <c r="I115" s="34">
        <f t="shared" si="15"/>
        <v>1.6</v>
      </c>
      <c r="J115" s="35">
        <f t="shared" si="16"/>
        <v>0</v>
      </c>
      <c r="AC115" s="36">
        <v>5</v>
      </c>
      <c r="AD115" s="37">
        <v>1.6</v>
      </c>
      <c r="AK115" s="37"/>
      <c r="AL115" s="37"/>
      <c r="AM115" s="37"/>
      <c r="AN115" s="37"/>
      <c r="AO115" s="36"/>
      <c r="AP115" s="37"/>
      <c r="AQ115" s="37"/>
      <c r="AR115" s="37"/>
      <c r="AS115" s="36"/>
      <c r="AT115" s="37"/>
      <c r="AU115" s="36"/>
      <c r="AV115" s="37"/>
      <c r="AW115" s="36"/>
      <c r="AX115" s="37"/>
      <c r="AY115" s="37"/>
      <c r="AZ115" s="37"/>
      <c r="BA115" s="36"/>
      <c r="BB115" s="37"/>
      <c r="BC115" s="37"/>
      <c r="BD115" s="37"/>
      <c r="BE115" s="37">
        <f t="shared" si="20"/>
        <v>1.6</v>
      </c>
      <c r="BF115" s="38">
        <f t="shared" si="21"/>
        <v>5</v>
      </c>
      <c r="BG115" s="35">
        <f t="shared" si="19"/>
        <v>8</v>
      </c>
    </row>
    <row r="116" spans="1:59" ht="12.75">
      <c r="A116" s="29">
        <v>44023</v>
      </c>
      <c r="B116" s="30" t="s">
        <v>146</v>
      </c>
      <c r="C116" s="31">
        <v>7.4</v>
      </c>
      <c r="D116" s="32">
        <v>4</v>
      </c>
      <c r="E116" s="32"/>
      <c r="F116" s="33">
        <v>11.400000000000002</v>
      </c>
      <c r="G116" s="33">
        <v>3.31</v>
      </c>
      <c r="H116" s="33"/>
      <c r="I116" s="34">
        <f t="shared" si="15"/>
        <v>3.31</v>
      </c>
      <c r="J116" s="35">
        <f t="shared" si="16"/>
        <v>0</v>
      </c>
      <c r="M116" s="36">
        <v>3</v>
      </c>
      <c r="N116" s="37">
        <v>0.6000000000000001</v>
      </c>
      <c r="Q116" s="36">
        <v>4</v>
      </c>
      <c r="R116" s="37">
        <v>1.3</v>
      </c>
      <c r="S116" s="37"/>
      <c r="T116" s="37"/>
      <c r="U116" s="37"/>
      <c r="V116" s="37"/>
      <c r="AC116" s="36">
        <v>5</v>
      </c>
      <c r="AD116" s="37">
        <v>1.1</v>
      </c>
      <c r="AI116" s="36">
        <v>5.5</v>
      </c>
      <c r="AJ116" s="37">
        <v>4.4</v>
      </c>
      <c r="AK116" s="37"/>
      <c r="AL116" s="37"/>
      <c r="AM116" s="37"/>
      <c r="AN116" s="37"/>
      <c r="AQ116" s="37"/>
      <c r="AR116" s="37"/>
      <c r="AW116" s="36"/>
      <c r="AX116" s="37"/>
      <c r="AY116" s="37"/>
      <c r="AZ116" s="37"/>
      <c r="BA116" s="36"/>
      <c r="BB116" s="37"/>
      <c r="BC116" s="37"/>
      <c r="BD116" s="37"/>
      <c r="BE116" s="37">
        <f t="shared" si="20"/>
        <v>7.4</v>
      </c>
      <c r="BF116" s="38">
        <f t="shared" si="21"/>
        <v>4.95945945945946</v>
      </c>
      <c r="BG116" s="35">
        <f t="shared" si="19"/>
        <v>36.7</v>
      </c>
    </row>
    <row r="117" spans="1:59" ht="22.5">
      <c r="A117" s="29">
        <v>44024</v>
      </c>
      <c r="B117" s="30" t="s">
        <v>147</v>
      </c>
      <c r="C117" s="31">
        <v>4.2</v>
      </c>
      <c r="D117" s="32"/>
      <c r="E117" s="32"/>
      <c r="F117" s="33">
        <v>4.2</v>
      </c>
      <c r="G117" s="33">
        <v>2.96</v>
      </c>
      <c r="H117" s="33"/>
      <c r="I117" s="34">
        <f t="shared" si="15"/>
        <v>2.96</v>
      </c>
      <c r="J117" s="35">
        <f t="shared" si="16"/>
        <v>0</v>
      </c>
      <c r="AC117" s="36">
        <v>5</v>
      </c>
      <c r="AD117" s="37">
        <v>4.2</v>
      </c>
      <c r="AK117" s="37"/>
      <c r="AL117" s="37"/>
      <c r="AM117" s="37"/>
      <c r="AN117" s="37"/>
      <c r="AO117" s="36"/>
      <c r="AP117" s="37"/>
      <c r="AQ117" s="37"/>
      <c r="AR117" s="37"/>
      <c r="AS117" s="36"/>
      <c r="AT117" s="37"/>
      <c r="AU117" s="36"/>
      <c r="AV117" s="37"/>
      <c r="AW117" s="36"/>
      <c r="AX117" s="37"/>
      <c r="AY117" s="37"/>
      <c r="AZ117" s="37"/>
      <c r="BA117" s="36"/>
      <c r="BB117" s="37"/>
      <c r="BC117" s="37"/>
      <c r="BD117" s="37"/>
      <c r="BE117" s="37">
        <f t="shared" si="20"/>
        <v>4.2</v>
      </c>
      <c r="BF117" s="38">
        <f t="shared" si="21"/>
        <v>5</v>
      </c>
      <c r="BG117" s="35">
        <f t="shared" si="19"/>
        <v>21</v>
      </c>
    </row>
    <row r="118" spans="1:59" ht="12.75">
      <c r="A118" s="29">
        <v>44025</v>
      </c>
      <c r="B118" s="30" t="s">
        <v>148</v>
      </c>
      <c r="C118" s="31">
        <v>0.45</v>
      </c>
      <c r="D118" s="32">
        <v>3.65</v>
      </c>
      <c r="E118" s="32"/>
      <c r="F118" s="33">
        <v>4.1</v>
      </c>
      <c r="G118" s="33">
        <v>0.22</v>
      </c>
      <c r="H118" s="33"/>
      <c r="I118" s="34">
        <f t="shared" si="15"/>
        <v>0.22</v>
      </c>
      <c r="J118" s="35">
        <f t="shared" si="16"/>
        <v>0</v>
      </c>
      <c r="Y118" s="36">
        <v>4.5</v>
      </c>
      <c r="Z118" s="37">
        <v>0.45</v>
      </c>
      <c r="AK118" s="37"/>
      <c r="AL118" s="37"/>
      <c r="AM118" s="37"/>
      <c r="AN118" s="37"/>
      <c r="AO118" s="36"/>
      <c r="AP118" s="37"/>
      <c r="AQ118" s="37"/>
      <c r="AR118" s="37"/>
      <c r="AS118" s="36"/>
      <c r="AT118" s="37"/>
      <c r="AU118" s="36"/>
      <c r="AV118" s="37"/>
      <c r="AW118" s="36"/>
      <c r="AX118" s="37"/>
      <c r="AY118" s="37"/>
      <c r="AZ118" s="37"/>
      <c r="BA118" s="36"/>
      <c r="BB118" s="37"/>
      <c r="BC118" s="37"/>
      <c r="BD118" s="37"/>
      <c r="BE118" s="37">
        <f t="shared" si="20"/>
        <v>0.45</v>
      </c>
      <c r="BF118" s="38">
        <f t="shared" si="21"/>
        <v>4.5</v>
      </c>
      <c r="BG118" s="35">
        <f t="shared" si="19"/>
        <v>2.025</v>
      </c>
    </row>
    <row r="119" spans="1:59" ht="12.75">
      <c r="A119" s="29">
        <v>44026</v>
      </c>
      <c r="B119" s="30" t="s">
        <v>149</v>
      </c>
      <c r="C119" s="31">
        <v>2.6</v>
      </c>
      <c r="D119" s="32">
        <v>1.4</v>
      </c>
      <c r="E119" s="32"/>
      <c r="F119" s="33">
        <v>4</v>
      </c>
      <c r="G119" s="33"/>
      <c r="H119" s="33"/>
      <c r="I119" s="34">
        <f t="shared" si="15"/>
        <v>0</v>
      </c>
      <c r="J119" s="35">
        <f t="shared" si="16"/>
        <v>0</v>
      </c>
      <c r="K119" s="36">
        <v>2.5</v>
      </c>
      <c r="L119" s="37">
        <v>2.6</v>
      </c>
      <c r="AK119" s="37"/>
      <c r="AL119" s="37"/>
      <c r="AM119" s="37"/>
      <c r="AN119" s="37"/>
      <c r="AO119" s="36"/>
      <c r="AP119" s="37"/>
      <c r="AQ119" s="37"/>
      <c r="AR119" s="37"/>
      <c r="AS119" s="36"/>
      <c r="AT119" s="37"/>
      <c r="AU119" s="36"/>
      <c r="AV119" s="37"/>
      <c r="AW119" s="36"/>
      <c r="AX119" s="37"/>
      <c r="AY119" s="37"/>
      <c r="AZ119" s="37"/>
      <c r="BA119" s="36"/>
      <c r="BB119" s="37"/>
      <c r="BC119" s="37"/>
      <c r="BD119" s="37"/>
      <c r="BE119" s="37">
        <f t="shared" si="20"/>
        <v>2.6</v>
      </c>
      <c r="BF119" s="38">
        <f t="shared" si="21"/>
        <v>2.5</v>
      </c>
      <c r="BG119" s="35">
        <f t="shared" si="19"/>
        <v>6.5</v>
      </c>
    </row>
    <row r="120" spans="1:59" ht="12.75">
      <c r="A120" s="29">
        <v>44027</v>
      </c>
      <c r="B120" s="30" t="s">
        <v>150</v>
      </c>
      <c r="C120" s="31">
        <f>0.9+1.1</f>
        <v>2</v>
      </c>
      <c r="D120" s="32">
        <f>1.1-1.1</f>
        <v>0</v>
      </c>
      <c r="E120" s="32"/>
      <c r="F120" s="33">
        <v>2</v>
      </c>
      <c r="G120" s="33">
        <v>0.95</v>
      </c>
      <c r="H120" s="33"/>
      <c r="I120" s="34">
        <f t="shared" si="15"/>
        <v>0.95</v>
      </c>
      <c r="J120" s="35">
        <f t="shared" si="16"/>
        <v>0</v>
      </c>
      <c r="AI120" s="36">
        <v>5.5</v>
      </c>
      <c r="AJ120" s="37">
        <v>2</v>
      </c>
      <c r="AK120" s="37"/>
      <c r="AL120" s="37"/>
      <c r="AM120" s="37"/>
      <c r="AN120" s="37"/>
      <c r="AO120" s="36"/>
      <c r="AP120" s="37"/>
      <c r="AQ120" s="37"/>
      <c r="AR120" s="37"/>
      <c r="AS120" s="36"/>
      <c r="AT120" s="37"/>
      <c r="AU120" s="36"/>
      <c r="AV120" s="37"/>
      <c r="AW120" s="36"/>
      <c r="AX120" s="37"/>
      <c r="AY120" s="37"/>
      <c r="AZ120" s="37"/>
      <c r="BA120" s="36"/>
      <c r="BB120" s="37"/>
      <c r="BC120" s="37"/>
      <c r="BD120" s="37"/>
      <c r="BE120" s="37">
        <f t="shared" si="20"/>
        <v>2</v>
      </c>
      <c r="BF120" s="38">
        <f t="shared" si="21"/>
        <v>5.5</v>
      </c>
      <c r="BG120" s="35">
        <f t="shared" si="19"/>
        <v>11</v>
      </c>
    </row>
    <row r="121" spans="1:59" ht="24.75">
      <c r="A121" s="29">
        <v>44028</v>
      </c>
      <c r="B121" s="30" t="s">
        <v>151</v>
      </c>
      <c r="C121" s="31">
        <f>2.7+2.3</f>
        <v>5</v>
      </c>
      <c r="D121" s="32">
        <f>9.8-2.3</f>
        <v>7.500000000000001</v>
      </c>
      <c r="E121" s="32"/>
      <c r="F121" s="33">
        <v>12.5</v>
      </c>
      <c r="G121" s="33">
        <v>1.25</v>
      </c>
      <c r="H121" s="33">
        <v>0</v>
      </c>
      <c r="I121" s="34">
        <f t="shared" si="15"/>
        <v>1.25</v>
      </c>
      <c r="J121" s="35">
        <f t="shared" si="16"/>
        <v>0</v>
      </c>
      <c r="M121" s="36">
        <v>3</v>
      </c>
      <c r="N121" s="37">
        <v>0.1</v>
      </c>
      <c r="O121" s="36">
        <v>3.5</v>
      </c>
      <c r="P121" s="37">
        <v>0.30000000000000004</v>
      </c>
      <c r="Q121" s="36">
        <v>4</v>
      </c>
      <c r="R121" s="37">
        <v>0.65</v>
      </c>
      <c r="S121" s="37"/>
      <c r="T121" s="37"/>
      <c r="U121" s="37"/>
      <c r="V121" s="37"/>
      <c r="AC121" s="36">
        <v>5</v>
      </c>
      <c r="AD121" s="37">
        <v>3.6</v>
      </c>
      <c r="AK121" s="37"/>
      <c r="AL121" s="37"/>
      <c r="AM121" s="37"/>
      <c r="AN121" s="37"/>
      <c r="AO121" s="36">
        <v>6</v>
      </c>
      <c r="AP121" s="37">
        <v>0.30000000000000004</v>
      </c>
      <c r="AQ121" s="37"/>
      <c r="AR121" s="37"/>
      <c r="AY121" s="37"/>
      <c r="AZ121" s="37"/>
      <c r="BA121" s="36">
        <v>9</v>
      </c>
      <c r="BB121" s="37">
        <v>0.05</v>
      </c>
      <c r="BC121" s="37"/>
      <c r="BD121" s="37"/>
      <c r="BE121" s="37">
        <f t="shared" si="20"/>
        <v>5</v>
      </c>
      <c r="BF121" s="38">
        <f t="shared" si="21"/>
        <v>4.84</v>
      </c>
      <c r="BG121" s="35">
        <f t="shared" si="19"/>
        <v>24.2</v>
      </c>
    </row>
    <row r="122" spans="1:59" ht="12.75">
      <c r="A122" s="29">
        <v>44029</v>
      </c>
      <c r="B122" s="30" t="s">
        <v>152</v>
      </c>
      <c r="C122" s="31">
        <v>0.7</v>
      </c>
      <c r="D122" s="32"/>
      <c r="E122" s="32"/>
      <c r="F122" s="33">
        <v>0.7</v>
      </c>
      <c r="G122" s="33">
        <v>0.7</v>
      </c>
      <c r="H122" s="33"/>
      <c r="I122" s="34">
        <f t="shared" si="15"/>
        <v>0.7</v>
      </c>
      <c r="J122" s="35">
        <f t="shared" si="16"/>
        <v>0</v>
      </c>
      <c r="AC122" s="36">
        <v>5</v>
      </c>
      <c r="AD122" s="37">
        <v>0.7</v>
      </c>
      <c r="AK122" s="37"/>
      <c r="AL122" s="37"/>
      <c r="AM122" s="37"/>
      <c r="AN122" s="37"/>
      <c r="AO122" s="36"/>
      <c r="AP122" s="37"/>
      <c r="AQ122" s="37"/>
      <c r="AR122" s="37"/>
      <c r="AS122" s="36"/>
      <c r="AT122" s="37"/>
      <c r="AU122" s="36"/>
      <c r="AV122" s="37"/>
      <c r="AW122" s="36"/>
      <c r="AX122" s="37"/>
      <c r="AY122" s="37"/>
      <c r="AZ122" s="37"/>
      <c r="BA122" s="36"/>
      <c r="BB122" s="37"/>
      <c r="BC122" s="37"/>
      <c r="BD122" s="37"/>
      <c r="BE122" s="37">
        <f t="shared" si="20"/>
        <v>0.7</v>
      </c>
      <c r="BF122" s="38">
        <f t="shared" si="21"/>
        <v>5</v>
      </c>
      <c r="BG122" s="35">
        <f t="shared" si="19"/>
        <v>3.5</v>
      </c>
    </row>
    <row r="123" spans="1:59" ht="12.75">
      <c r="A123" s="29">
        <v>44030</v>
      </c>
      <c r="B123" s="30" t="s">
        <v>153</v>
      </c>
      <c r="C123" s="31">
        <v>1.1</v>
      </c>
      <c r="D123" s="32"/>
      <c r="E123" s="32"/>
      <c r="F123" s="33">
        <v>1.1</v>
      </c>
      <c r="G123" s="33">
        <v>1.1</v>
      </c>
      <c r="H123" s="33"/>
      <c r="I123" s="34">
        <f t="shared" si="15"/>
        <v>1.1</v>
      </c>
      <c r="J123" s="35">
        <f t="shared" si="16"/>
        <v>0</v>
      </c>
      <c r="Q123" s="36">
        <v>4</v>
      </c>
      <c r="R123" s="37">
        <v>1.1</v>
      </c>
      <c r="S123" s="37"/>
      <c r="T123" s="37"/>
      <c r="U123" s="37"/>
      <c r="V123" s="37"/>
      <c r="AK123" s="37"/>
      <c r="AL123" s="37"/>
      <c r="AM123" s="37"/>
      <c r="AN123" s="37"/>
      <c r="AO123" s="36"/>
      <c r="AP123" s="37"/>
      <c r="AQ123" s="37"/>
      <c r="AR123" s="37"/>
      <c r="AS123" s="36"/>
      <c r="AT123" s="37"/>
      <c r="AU123" s="36"/>
      <c r="AV123" s="37"/>
      <c r="AW123" s="36"/>
      <c r="AX123" s="37"/>
      <c r="AY123" s="37"/>
      <c r="AZ123" s="37"/>
      <c r="BA123" s="36"/>
      <c r="BB123" s="37"/>
      <c r="BC123" s="37"/>
      <c r="BD123" s="37"/>
      <c r="BE123" s="37">
        <f t="shared" si="20"/>
        <v>1.1</v>
      </c>
      <c r="BF123" s="38">
        <f t="shared" si="21"/>
        <v>4</v>
      </c>
      <c r="BG123" s="35">
        <f t="shared" si="19"/>
        <v>4.4</v>
      </c>
    </row>
    <row r="124" spans="1:59" ht="12.75">
      <c r="A124" s="29">
        <v>44032</v>
      </c>
      <c r="B124" s="30" t="s">
        <v>154</v>
      </c>
      <c r="C124" s="31">
        <v>1.25</v>
      </c>
      <c r="D124" s="32">
        <v>5.95</v>
      </c>
      <c r="E124" s="32"/>
      <c r="F124" s="33">
        <v>7.199999999999999</v>
      </c>
      <c r="G124" s="33">
        <v>1.25</v>
      </c>
      <c r="H124" s="33"/>
      <c r="I124" s="34">
        <f t="shared" si="15"/>
        <v>1.25</v>
      </c>
      <c r="J124" s="35">
        <f t="shared" si="16"/>
        <v>0</v>
      </c>
      <c r="S124" s="36">
        <v>4.2</v>
      </c>
      <c r="T124" s="37">
        <v>0.8</v>
      </c>
      <c r="AI124" s="36">
        <v>5.5</v>
      </c>
      <c r="AJ124" s="37">
        <v>0.45</v>
      </c>
      <c r="AK124" s="37"/>
      <c r="AL124" s="37"/>
      <c r="AM124" s="37"/>
      <c r="AN124" s="37"/>
      <c r="AQ124" s="37"/>
      <c r="AR124" s="37"/>
      <c r="AS124" s="36"/>
      <c r="AT124" s="37"/>
      <c r="AU124" s="36"/>
      <c r="AV124" s="37"/>
      <c r="AW124" s="36"/>
      <c r="AX124" s="37"/>
      <c r="AY124" s="37"/>
      <c r="AZ124" s="37"/>
      <c r="BA124" s="36"/>
      <c r="BB124" s="37"/>
      <c r="BC124" s="37"/>
      <c r="BD124" s="37"/>
      <c r="BE124" s="37">
        <f t="shared" si="20"/>
        <v>1.25</v>
      </c>
      <c r="BF124" s="38">
        <f t="shared" si="21"/>
        <v>4.668000000000001</v>
      </c>
      <c r="BG124" s="35">
        <f t="shared" si="19"/>
        <v>5.835000000000001</v>
      </c>
    </row>
    <row r="125" spans="1:59" ht="12.75">
      <c r="A125" s="29">
        <v>44033</v>
      </c>
      <c r="B125" s="30" t="s">
        <v>155</v>
      </c>
      <c r="C125" s="31">
        <v>0.9</v>
      </c>
      <c r="D125" s="32"/>
      <c r="E125" s="32"/>
      <c r="F125" s="33">
        <v>0.9</v>
      </c>
      <c r="G125" s="33">
        <v>0.9</v>
      </c>
      <c r="H125" s="33"/>
      <c r="I125" s="34">
        <f t="shared" si="15"/>
        <v>0.9</v>
      </c>
      <c r="J125" s="35">
        <f t="shared" si="16"/>
        <v>0</v>
      </c>
      <c r="U125" s="36">
        <v>4.3</v>
      </c>
      <c r="V125" s="37">
        <v>0.9</v>
      </c>
      <c r="AK125" s="37"/>
      <c r="AL125" s="37"/>
      <c r="AM125" s="37"/>
      <c r="AN125" s="37"/>
      <c r="AO125" s="36"/>
      <c r="AP125" s="37"/>
      <c r="AQ125" s="37"/>
      <c r="AR125" s="37"/>
      <c r="AS125" s="36"/>
      <c r="AT125" s="37"/>
      <c r="AU125" s="36"/>
      <c r="AV125" s="37"/>
      <c r="AW125" s="36"/>
      <c r="AX125" s="37"/>
      <c r="AY125" s="37"/>
      <c r="AZ125" s="37"/>
      <c r="BA125" s="36"/>
      <c r="BB125" s="37"/>
      <c r="BC125" s="37"/>
      <c r="BD125" s="37"/>
      <c r="BE125" s="37">
        <f t="shared" si="20"/>
        <v>0.9</v>
      </c>
      <c r="BF125" s="38">
        <f t="shared" si="21"/>
        <v>4.3</v>
      </c>
      <c r="BG125" s="35">
        <f t="shared" si="19"/>
        <v>3.87</v>
      </c>
    </row>
    <row r="126" spans="1:59" ht="12.75">
      <c r="A126" s="29">
        <v>44034</v>
      </c>
      <c r="B126" s="30" t="s">
        <v>156</v>
      </c>
      <c r="C126" s="31">
        <v>10.5</v>
      </c>
      <c r="D126" s="32"/>
      <c r="E126" s="32"/>
      <c r="F126" s="33">
        <v>10.5</v>
      </c>
      <c r="G126" s="33">
        <v>1.23</v>
      </c>
      <c r="H126" s="33"/>
      <c r="I126" s="34">
        <f t="shared" si="15"/>
        <v>1.23</v>
      </c>
      <c r="J126" s="35">
        <f t="shared" si="16"/>
        <v>0</v>
      </c>
      <c r="U126" s="36">
        <v>4.3</v>
      </c>
      <c r="V126" s="37">
        <v>5.2</v>
      </c>
      <c r="Y126" s="36">
        <v>4.5</v>
      </c>
      <c r="Z126" s="37">
        <v>5.3</v>
      </c>
      <c r="AK126" s="37"/>
      <c r="AL126" s="37"/>
      <c r="AM126" s="37"/>
      <c r="AN126" s="37"/>
      <c r="AQ126" s="37"/>
      <c r="AR126" s="37"/>
      <c r="AS126" s="36"/>
      <c r="AT126" s="37"/>
      <c r="AU126" s="36"/>
      <c r="AV126" s="37"/>
      <c r="AW126" s="36"/>
      <c r="AX126" s="37"/>
      <c r="AY126" s="37"/>
      <c r="AZ126" s="37"/>
      <c r="BA126" s="36"/>
      <c r="BB126" s="37"/>
      <c r="BC126" s="37"/>
      <c r="BD126" s="37"/>
      <c r="BE126" s="37">
        <f t="shared" si="20"/>
        <v>10.5</v>
      </c>
      <c r="BF126" s="38">
        <f t="shared" si="21"/>
        <v>4.40095238095238</v>
      </c>
      <c r="BG126" s="35">
        <f t="shared" si="19"/>
        <v>46.209999999999994</v>
      </c>
    </row>
    <row r="127" spans="1:59" ht="12.75">
      <c r="A127" s="29">
        <v>44035</v>
      </c>
      <c r="B127" s="30" t="s">
        <v>157</v>
      </c>
      <c r="C127" s="31">
        <v>3.7</v>
      </c>
      <c r="D127" s="32"/>
      <c r="E127" s="32"/>
      <c r="F127" s="33">
        <v>3.7</v>
      </c>
      <c r="G127" s="33"/>
      <c r="H127" s="33"/>
      <c r="I127" s="34">
        <f t="shared" si="15"/>
        <v>0</v>
      </c>
      <c r="J127" s="35">
        <f t="shared" si="16"/>
        <v>0</v>
      </c>
      <c r="M127" s="36">
        <v>3</v>
      </c>
      <c r="N127" s="37">
        <v>3.6</v>
      </c>
      <c r="AK127" s="37"/>
      <c r="AL127" s="37"/>
      <c r="AM127" s="37"/>
      <c r="AN127" s="37"/>
      <c r="AO127" s="36">
        <v>6</v>
      </c>
      <c r="AP127" s="37">
        <v>0.1</v>
      </c>
      <c r="AQ127" s="37"/>
      <c r="AR127" s="37"/>
      <c r="AS127" s="36"/>
      <c r="AT127" s="37"/>
      <c r="AU127" s="36"/>
      <c r="AV127" s="37"/>
      <c r="AW127" s="36"/>
      <c r="AX127" s="37"/>
      <c r="AY127" s="37"/>
      <c r="AZ127" s="37"/>
      <c r="BA127" s="36"/>
      <c r="BB127" s="37"/>
      <c r="BC127" s="37"/>
      <c r="BD127" s="37"/>
      <c r="BE127" s="37">
        <f t="shared" si="20"/>
        <v>3.7</v>
      </c>
      <c r="BF127" s="38">
        <f t="shared" si="21"/>
        <v>3.081081081081081</v>
      </c>
      <c r="BG127" s="35">
        <f t="shared" si="19"/>
        <v>11.4</v>
      </c>
    </row>
    <row r="128" spans="1:59" ht="12.75">
      <c r="A128" s="29">
        <v>44037</v>
      </c>
      <c r="B128" s="30" t="s">
        <v>158</v>
      </c>
      <c r="C128" s="31">
        <f>3.2+1.7</f>
        <v>4.9</v>
      </c>
      <c r="D128" s="32"/>
      <c r="E128" s="32"/>
      <c r="F128" s="33">
        <v>4.9</v>
      </c>
      <c r="G128" s="33">
        <v>2.29</v>
      </c>
      <c r="H128" s="33"/>
      <c r="I128" s="34">
        <f t="shared" si="15"/>
        <v>2.29</v>
      </c>
      <c r="J128" s="35">
        <f t="shared" si="16"/>
        <v>0</v>
      </c>
      <c r="AC128" s="36">
        <v>5</v>
      </c>
      <c r="AD128" s="37">
        <v>2.425</v>
      </c>
      <c r="AI128" s="36">
        <v>5.5</v>
      </c>
      <c r="AJ128" s="37">
        <f>0.775+1.7</f>
        <v>2.475</v>
      </c>
      <c r="AK128" s="37"/>
      <c r="AL128" s="37"/>
      <c r="AM128" s="37"/>
      <c r="AN128" s="37"/>
      <c r="AQ128" s="37"/>
      <c r="AR128" s="37"/>
      <c r="AS128" s="36"/>
      <c r="AT128" s="37"/>
      <c r="AU128" s="36"/>
      <c r="AV128" s="37"/>
      <c r="AW128" s="36"/>
      <c r="AX128" s="37"/>
      <c r="AY128" s="37"/>
      <c r="AZ128" s="37"/>
      <c r="BA128" s="36"/>
      <c r="BB128" s="37"/>
      <c r="BC128" s="37"/>
      <c r="BD128" s="37"/>
      <c r="BE128" s="37">
        <f t="shared" si="20"/>
        <v>4.9</v>
      </c>
      <c r="BF128" s="38">
        <f t="shared" si="21"/>
        <v>5.252551020408163</v>
      </c>
      <c r="BG128" s="35">
        <f t="shared" si="19"/>
        <v>25.7375</v>
      </c>
    </row>
    <row r="129" spans="1:59" ht="12.75">
      <c r="A129" s="29">
        <v>44038</v>
      </c>
      <c r="B129" s="30" t="s">
        <v>159</v>
      </c>
      <c r="C129" s="31">
        <v>0.77</v>
      </c>
      <c r="D129" s="32">
        <v>2.63</v>
      </c>
      <c r="E129" s="32"/>
      <c r="F129" s="33">
        <v>3.4</v>
      </c>
      <c r="G129" s="33">
        <v>1.22</v>
      </c>
      <c r="H129" s="33"/>
      <c r="I129" s="34">
        <f t="shared" si="15"/>
        <v>1.22</v>
      </c>
      <c r="J129" s="35">
        <f t="shared" si="16"/>
        <v>0</v>
      </c>
      <c r="AI129" s="36">
        <v>5.5</v>
      </c>
      <c r="AJ129" s="37">
        <v>0.77</v>
      </c>
      <c r="AK129" s="37"/>
      <c r="AL129" s="37"/>
      <c r="AM129" s="37"/>
      <c r="AN129" s="37"/>
      <c r="AO129" s="36"/>
      <c r="AP129" s="37"/>
      <c r="AQ129" s="37"/>
      <c r="AR129" s="37"/>
      <c r="AS129" s="36"/>
      <c r="AT129" s="37"/>
      <c r="AU129" s="36"/>
      <c r="AV129" s="37"/>
      <c r="AW129" s="36"/>
      <c r="AX129" s="37"/>
      <c r="AY129" s="37"/>
      <c r="AZ129" s="37"/>
      <c r="BA129" s="36"/>
      <c r="BB129" s="37"/>
      <c r="BC129" s="37"/>
      <c r="BD129" s="37"/>
      <c r="BE129" s="37">
        <f t="shared" si="20"/>
        <v>0.77</v>
      </c>
      <c r="BF129" s="38">
        <f t="shared" si="21"/>
        <v>5.5</v>
      </c>
      <c r="BG129" s="35">
        <f t="shared" si="19"/>
        <v>4.235</v>
      </c>
    </row>
    <row r="130" spans="1:59" ht="12.75">
      <c r="A130" s="29">
        <v>44039</v>
      </c>
      <c r="B130" s="30" t="s">
        <v>160</v>
      </c>
      <c r="C130" s="110">
        <v>2.5</v>
      </c>
      <c r="D130" s="111"/>
      <c r="E130" s="111"/>
      <c r="F130" s="41">
        <v>2.5</v>
      </c>
      <c r="G130" s="33">
        <v>0.62</v>
      </c>
      <c r="H130" s="33"/>
      <c r="I130" s="34">
        <f aca="true" t="shared" si="22" ref="I130:I161">G130+H130</f>
        <v>0.62</v>
      </c>
      <c r="J130" s="35">
        <f aca="true" t="shared" si="23" ref="J130:J161">C130-BE130</f>
        <v>0</v>
      </c>
      <c r="AI130" s="36">
        <v>5.5</v>
      </c>
      <c r="AJ130" s="37">
        <v>2.5</v>
      </c>
      <c r="AK130" s="37"/>
      <c r="AL130" s="37"/>
      <c r="AM130" s="37"/>
      <c r="AN130" s="37"/>
      <c r="AO130" s="36"/>
      <c r="AP130" s="37"/>
      <c r="AQ130" s="37"/>
      <c r="AR130" s="37"/>
      <c r="AS130" s="36"/>
      <c r="AT130" s="37"/>
      <c r="AU130" s="36"/>
      <c r="AV130" s="37"/>
      <c r="AW130" s="36"/>
      <c r="AX130" s="37"/>
      <c r="AY130" s="37"/>
      <c r="AZ130" s="37"/>
      <c r="BA130" s="36"/>
      <c r="BB130" s="37"/>
      <c r="BC130" s="37"/>
      <c r="BD130" s="37"/>
      <c r="BE130" s="37">
        <f t="shared" si="20"/>
        <v>2.5</v>
      </c>
      <c r="BF130" s="38">
        <f t="shared" si="21"/>
        <v>5.5</v>
      </c>
      <c r="BG130" s="35">
        <f t="shared" si="19"/>
        <v>13.75</v>
      </c>
    </row>
    <row r="131" spans="1:59" ht="12.75">
      <c r="A131" s="29">
        <v>44042</v>
      </c>
      <c r="B131" s="30" t="s">
        <v>161</v>
      </c>
      <c r="C131" s="31">
        <v>2.3</v>
      </c>
      <c r="D131" s="32"/>
      <c r="E131" s="32"/>
      <c r="F131" s="33">
        <v>2.3</v>
      </c>
      <c r="G131" s="33">
        <v>0.7</v>
      </c>
      <c r="H131" s="33"/>
      <c r="I131" s="34">
        <f t="shared" si="22"/>
        <v>0.7</v>
      </c>
      <c r="J131" s="35">
        <f t="shared" si="23"/>
        <v>0</v>
      </c>
      <c r="AC131" s="36">
        <v>5</v>
      </c>
      <c r="AD131" s="37">
        <v>2.3</v>
      </c>
      <c r="AK131" s="37"/>
      <c r="AL131" s="37"/>
      <c r="AM131" s="37"/>
      <c r="AN131" s="37"/>
      <c r="AO131" s="36"/>
      <c r="AP131" s="37"/>
      <c r="AQ131" s="37"/>
      <c r="AR131" s="37"/>
      <c r="AS131" s="36"/>
      <c r="AT131" s="37"/>
      <c r="AU131" s="36"/>
      <c r="AV131" s="37"/>
      <c r="AW131" s="36"/>
      <c r="AX131" s="37"/>
      <c r="AY131" s="37"/>
      <c r="AZ131" s="37"/>
      <c r="BA131" s="36"/>
      <c r="BB131" s="37"/>
      <c r="BC131" s="37"/>
      <c r="BD131" s="37"/>
      <c r="BE131" s="37">
        <f t="shared" si="20"/>
        <v>2.3</v>
      </c>
      <c r="BF131" s="38">
        <f t="shared" si="21"/>
        <v>5</v>
      </c>
      <c r="BG131" s="35">
        <f aca="true" t="shared" si="24" ref="BG131:BG162">BF131*BE131</f>
        <v>11.5</v>
      </c>
    </row>
    <row r="132" spans="1:59" ht="12.75">
      <c r="A132" s="29">
        <v>44044</v>
      </c>
      <c r="B132" s="30" t="s">
        <v>162</v>
      </c>
      <c r="C132" s="31">
        <v>2.9</v>
      </c>
      <c r="D132" s="32"/>
      <c r="E132" s="32"/>
      <c r="F132" s="33">
        <v>2.9</v>
      </c>
      <c r="G132" s="33">
        <v>1.48</v>
      </c>
      <c r="H132" s="33"/>
      <c r="I132" s="34">
        <f t="shared" si="22"/>
        <v>1.48</v>
      </c>
      <c r="J132" s="35">
        <f t="shared" si="23"/>
        <v>0</v>
      </c>
      <c r="AK132" s="37"/>
      <c r="AL132" s="37"/>
      <c r="AM132" s="37"/>
      <c r="AN132" s="37"/>
      <c r="AO132" s="36">
        <v>6</v>
      </c>
      <c r="AP132" s="37">
        <v>2.9</v>
      </c>
      <c r="AQ132" s="37"/>
      <c r="AR132" s="37"/>
      <c r="AS132" s="36"/>
      <c r="AT132" s="37"/>
      <c r="AU132" s="36"/>
      <c r="AV132" s="37"/>
      <c r="AW132" s="36"/>
      <c r="AX132" s="37"/>
      <c r="AY132" s="37"/>
      <c r="AZ132" s="37"/>
      <c r="BA132" s="36"/>
      <c r="BB132" s="37"/>
      <c r="BC132" s="37"/>
      <c r="BD132" s="37"/>
      <c r="BE132" s="37">
        <f t="shared" si="20"/>
        <v>2.9</v>
      </c>
      <c r="BF132" s="38">
        <f t="shared" si="21"/>
        <v>6</v>
      </c>
      <c r="BG132" s="35">
        <f t="shared" si="24"/>
        <v>17.4</v>
      </c>
    </row>
    <row r="133" spans="1:59" ht="12.75">
      <c r="A133" s="29">
        <v>44045</v>
      </c>
      <c r="B133" s="30" t="s">
        <v>163</v>
      </c>
      <c r="C133" s="31">
        <v>0.6</v>
      </c>
      <c r="D133" s="72"/>
      <c r="E133" s="72"/>
      <c r="F133" s="33">
        <v>0.6</v>
      </c>
      <c r="G133" s="33">
        <v>0.6000000000000001</v>
      </c>
      <c r="H133" s="33"/>
      <c r="I133" s="34">
        <f t="shared" si="22"/>
        <v>0.6000000000000001</v>
      </c>
      <c r="J133" s="35">
        <f t="shared" si="23"/>
        <v>0</v>
      </c>
      <c r="Q133" s="36"/>
      <c r="R133" s="37"/>
      <c r="AI133">
        <v>5.5</v>
      </c>
      <c r="AJ133" s="37">
        <v>0.6000000000000001</v>
      </c>
      <c r="AK133" s="37"/>
      <c r="AL133" s="37"/>
      <c r="AM133" s="37"/>
      <c r="AN133" s="37"/>
      <c r="AO133" s="36"/>
      <c r="AP133" s="37"/>
      <c r="AQ133" s="37"/>
      <c r="AR133" s="37"/>
      <c r="AS133" s="36"/>
      <c r="AT133" s="37"/>
      <c r="AU133" s="36"/>
      <c r="AV133" s="37"/>
      <c r="AW133" s="36"/>
      <c r="AX133" s="37"/>
      <c r="AY133" s="37"/>
      <c r="AZ133" s="37"/>
      <c r="BA133" s="36"/>
      <c r="BB133" s="37"/>
      <c r="BC133" s="37"/>
      <c r="BD133" s="37"/>
      <c r="BE133" s="37">
        <f t="shared" si="20"/>
        <v>0.6000000000000001</v>
      </c>
      <c r="BF133" s="38">
        <f t="shared" si="21"/>
        <v>5.5</v>
      </c>
      <c r="BG133" s="35">
        <f t="shared" si="24"/>
        <v>3.3000000000000007</v>
      </c>
    </row>
    <row r="134" spans="1:59" ht="12.75">
      <c r="A134" s="29">
        <v>44046</v>
      </c>
      <c r="B134" s="30" t="s">
        <v>164</v>
      </c>
      <c r="C134" s="31">
        <v>1.15</v>
      </c>
      <c r="D134" s="32">
        <v>5.65</v>
      </c>
      <c r="E134" s="32"/>
      <c r="F134" s="33">
        <v>6.800000000000001</v>
      </c>
      <c r="G134" s="33">
        <v>1.1400000000000001</v>
      </c>
      <c r="H134" s="33"/>
      <c r="I134" s="34">
        <f t="shared" si="22"/>
        <v>1.1400000000000001</v>
      </c>
      <c r="J134" s="35">
        <f t="shared" si="23"/>
        <v>0</v>
      </c>
      <c r="AK134" s="37"/>
      <c r="AL134" s="37"/>
      <c r="AM134" s="37"/>
      <c r="AN134" s="37"/>
      <c r="AO134" s="36">
        <v>6</v>
      </c>
      <c r="AP134" s="37">
        <v>1.15</v>
      </c>
      <c r="AQ134" s="37"/>
      <c r="AR134" s="37"/>
      <c r="AS134" s="36"/>
      <c r="AT134" s="37"/>
      <c r="AU134" s="36"/>
      <c r="AV134" s="37"/>
      <c r="AW134" s="36"/>
      <c r="AX134" s="37"/>
      <c r="AY134" s="37"/>
      <c r="AZ134" s="37"/>
      <c r="BA134" s="36"/>
      <c r="BB134" s="37"/>
      <c r="BC134" s="37"/>
      <c r="BD134" s="37"/>
      <c r="BE134" s="37">
        <f t="shared" si="20"/>
        <v>1.15</v>
      </c>
      <c r="BF134" s="38">
        <f t="shared" si="21"/>
        <v>6</v>
      </c>
      <c r="BG134" s="35">
        <f t="shared" si="24"/>
        <v>6.8999999999999995</v>
      </c>
    </row>
    <row r="135" spans="1:59" ht="22.5">
      <c r="A135" s="29">
        <v>44047</v>
      </c>
      <c r="B135" s="30" t="s">
        <v>165</v>
      </c>
      <c r="C135" s="31">
        <v>5.2</v>
      </c>
      <c r="D135" s="32">
        <v>1.3</v>
      </c>
      <c r="E135" s="32"/>
      <c r="F135" s="33">
        <v>6.5</v>
      </c>
      <c r="G135" s="33">
        <v>3.62</v>
      </c>
      <c r="H135" s="33"/>
      <c r="I135" s="34">
        <f t="shared" si="22"/>
        <v>3.62</v>
      </c>
      <c r="J135" s="35">
        <f t="shared" si="23"/>
        <v>0</v>
      </c>
      <c r="AC135" s="36">
        <v>5</v>
      </c>
      <c r="AD135" s="37">
        <v>4.75</v>
      </c>
      <c r="AI135" s="36">
        <v>5.5</v>
      </c>
      <c r="AJ135" s="37">
        <v>0.45</v>
      </c>
      <c r="AK135" s="37"/>
      <c r="AL135" s="37"/>
      <c r="AM135" s="37"/>
      <c r="AN135" s="37"/>
      <c r="AQ135" s="37"/>
      <c r="AR135" s="37"/>
      <c r="AS135" s="36"/>
      <c r="AT135" s="37"/>
      <c r="AU135" s="36"/>
      <c r="AV135" s="37"/>
      <c r="AW135" s="36"/>
      <c r="AX135" s="37"/>
      <c r="AY135" s="37"/>
      <c r="AZ135" s="37"/>
      <c r="BA135" s="36"/>
      <c r="BB135" s="37"/>
      <c r="BC135" s="37"/>
      <c r="BD135" s="37"/>
      <c r="BE135" s="37">
        <f t="shared" si="20"/>
        <v>5.2</v>
      </c>
      <c r="BF135" s="38">
        <f t="shared" si="21"/>
        <v>5.043269230769231</v>
      </c>
      <c r="BG135" s="35">
        <f t="shared" si="24"/>
        <v>26.225</v>
      </c>
    </row>
    <row r="136" spans="1:59" ht="22.5">
      <c r="A136" s="29">
        <v>44048</v>
      </c>
      <c r="B136" s="30" t="s">
        <v>166</v>
      </c>
      <c r="C136" s="31">
        <f>2.76+0.85</f>
        <v>3.61</v>
      </c>
      <c r="D136" s="32">
        <f>3.74-0.85</f>
        <v>2.89</v>
      </c>
      <c r="E136" s="32"/>
      <c r="F136" s="33">
        <v>6.5</v>
      </c>
      <c r="G136" s="33">
        <v>3.2</v>
      </c>
      <c r="H136" s="33"/>
      <c r="I136" s="34">
        <f t="shared" si="22"/>
        <v>3.2</v>
      </c>
      <c r="J136" s="35">
        <f t="shared" si="23"/>
        <v>0</v>
      </c>
      <c r="AI136" s="36">
        <v>5.5</v>
      </c>
      <c r="AJ136" s="37">
        <v>3.61</v>
      </c>
      <c r="AK136" s="37"/>
      <c r="AL136" s="37"/>
      <c r="AM136" s="37"/>
      <c r="AN136" s="37"/>
      <c r="AO136" s="36"/>
      <c r="AP136" s="37"/>
      <c r="AQ136" s="37"/>
      <c r="AR136" s="37"/>
      <c r="AS136" s="36"/>
      <c r="AT136" s="37"/>
      <c r="AU136" s="36"/>
      <c r="AV136" s="37"/>
      <c r="AW136" s="36"/>
      <c r="AX136" s="37"/>
      <c r="AY136" s="37"/>
      <c r="AZ136" s="37"/>
      <c r="BA136" s="36"/>
      <c r="BB136" s="37"/>
      <c r="BC136" s="37"/>
      <c r="BD136" s="37"/>
      <c r="BE136" s="37">
        <f t="shared" si="20"/>
        <v>3.61</v>
      </c>
      <c r="BF136" s="38">
        <f t="shared" si="21"/>
        <v>5.5</v>
      </c>
      <c r="BG136" s="35">
        <f t="shared" si="24"/>
        <v>19.855</v>
      </c>
    </row>
    <row r="137" spans="1:59" ht="12.75">
      <c r="A137" s="29">
        <v>44049</v>
      </c>
      <c r="B137" s="30" t="s">
        <v>167</v>
      </c>
      <c r="C137" s="31">
        <v>1</v>
      </c>
      <c r="D137" s="72">
        <v>1</v>
      </c>
      <c r="E137" s="72"/>
      <c r="F137" s="33">
        <v>2</v>
      </c>
      <c r="G137" s="33">
        <v>1</v>
      </c>
      <c r="H137" s="33"/>
      <c r="I137" s="34">
        <f t="shared" si="22"/>
        <v>1</v>
      </c>
      <c r="J137" s="35">
        <f t="shared" si="23"/>
        <v>0</v>
      </c>
      <c r="M137" s="36">
        <v>3</v>
      </c>
      <c r="N137" s="37">
        <v>1</v>
      </c>
      <c r="AK137" s="37"/>
      <c r="AL137" s="37"/>
      <c r="AM137" s="37"/>
      <c r="AN137" s="37"/>
      <c r="AO137" s="36"/>
      <c r="AP137" s="37"/>
      <c r="AQ137" s="37"/>
      <c r="AR137" s="37"/>
      <c r="AS137" s="36"/>
      <c r="AT137" s="37"/>
      <c r="AU137" s="36"/>
      <c r="AV137" s="37"/>
      <c r="AW137" s="36"/>
      <c r="AX137" s="37"/>
      <c r="AY137" s="37"/>
      <c r="AZ137" s="37"/>
      <c r="BA137" s="36"/>
      <c r="BB137" s="37"/>
      <c r="BC137" s="37"/>
      <c r="BD137" s="37"/>
      <c r="BE137" s="37">
        <f t="shared" si="20"/>
        <v>1</v>
      </c>
      <c r="BF137" s="38">
        <f t="shared" si="21"/>
        <v>3</v>
      </c>
      <c r="BG137" s="35">
        <f t="shared" si="24"/>
        <v>3</v>
      </c>
    </row>
    <row r="138" spans="1:59" ht="12.75">
      <c r="A138" s="29">
        <v>44050</v>
      </c>
      <c r="B138" s="30" t="s">
        <v>168</v>
      </c>
      <c r="C138" s="31">
        <v>0</v>
      </c>
      <c r="D138" s="32">
        <v>5.6</v>
      </c>
      <c r="E138" s="32"/>
      <c r="F138" s="33">
        <v>5.6</v>
      </c>
      <c r="G138" s="33"/>
      <c r="H138" s="33"/>
      <c r="I138" s="34">
        <f t="shared" si="22"/>
        <v>0</v>
      </c>
      <c r="J138" s="35">
        <f t="shared" si="23"/>
        <v>0</v>
      </c>
      <c r="AI138" s="36"/>
      <c r="AJ138" s="37"/>
      <c r="AK138" s="37"/>
      <c r="AL138" s="37"/>
      <c r="AM138" s="37"/>
      <c r="AN138" s="37"/>
      <c r="AO138" s="36"/>
      <c r="AP138" s="37"/>
      <c r="AQ138" s="37"/>
      <c r="AR138" s="37"/>
      <c r="AS138" s="36"/>
      <c r="AT138" s="37"/>
      <c r="AU138" s="36"/>
      <c r="AV138" s="37"/>
      <c r="AW138" s="36"/>
      <c r="AX138" s="37"/>
      <c r="AY138" s="37"/>
      <c r="AZ138" s="37"/>
      <c r="BA138" s="36"/>
      <c r="BB138" s="37"/>
      <c r="BC138" s="37"/>
      <c r="BD138" s="37"/>
      <c r="BE138" s="37">
        <f>AJ138+AP138+AT138+AV138+AX138+BB138</f>
        <v>0</v>
      </c>
      <c r="BF138" s="38"/>
      <c r="BG138" s="35">
        <f t="shared" si="24"/>
        <v>0</v>
      </c>
    </row>
    <row r="139" spans="1:59" ht="12.75">
      <c r="A139" s="29">
        <v>44051</v>
      </c>
      <c r="B139" s="30" t="s">
        <v>169</v>
      </c>
      <c r="C139" s="31">
        <v>1.9</v>
      </c>
      <c r="D139" s="32">
        <v>8.2</v>
      </c>
      <c r="E139" s="32"/>
      <c r="F139" s="33">
        <v>10.100000000000001</v>
      </c>
      <c r="G139" s="33">
        <v>1.9</v>
      </c>
      <c r="H139" s="33"/>
      <c r="I139" s="34">
        <f t="shared" si="22"/>
        <v>1.9</v>
      </c>
      <c r="J139" s="35">
        <f t="shared" si="23"/>
        <v>0</v>
      </c>
      <c r="M139" s="36">
        <v>3</v>
      </c>
      <c r="N139" s="37">
        <v>1.3</v>
      </c>
      <c r="AC139" s="36">
        <v>5</v>
      </c>
      <c r="AD139" s="37">
        <v>0.6000000000000001</v>
      </c>
      <c r="AK139" s="37"/>
      <c r="AL139" s="37"/>
      <c r="AM139" s="37"/>
      <c r="AN139" s="37"/>
      <c r="AQ139" s="37"/>
      <c r="AR139" s="37"/>
      <c r="AS139" s="36"/>
      <c r="AT139" s="37"/>
      <c r="AU139" s="36"/>
      <c r="AV139" s="37"/>
      <c r="AW139" s="36"/>
      <c r="AX139" s="37"/>
      <c r="AY139" s="37"/>
      <c r="AZ139" s="37"/>
      <c r="BA139" s="36"/>
      <c r="BB139" s="37"/>
      <c r="BC139" s="37"/>
      <c r="BD139" s="37"/>
      <c r="BE139" s="37">
        <f>L139+N139+P139+R139+T139+V139+X139+Z139+AB139+AD139+AF139+AH139+AJ139+AL139+AN139+AP139+AR139+AT139+AV139+AX139+AZ139+BB139+BD139</f>
        <v>1.9000000000000001</v>
      </c>
      <c r="BF139" s="38">
        <f>(K139*L139+M139*N139+O139*P139+Q139*R139+S139*T139+U139*V139+W139*X139+Y139*Z139+AA139*AB139+AC139*AD139+AE139*AF139+AG139*AH139+AI139*AJ139+AK139*AL139+AM139*AN139+AO139*AP139+AQ139*AR139+AS139*AT139+AU139*AV139+AW139*AX139+AY139*AZ139+BA139*BB139+BC139*BD139)/BE139</f>
        <v>3.631578947368421</v>
      </c>
      <c r="BG139" s="35">
        <f t="shared" si="24"/>
        <v>6.9</v>
      </c>
    </row>
    <row r="140" spans="1:59" ht="12.75">
      <c r="A140" s="29">
        <v>44052</v>
      </c>
      <c r="B140" s="30" t="s">
        <v>170</v>
      </c>
      <c r="C140" s="31">
        <v>1.35</v>
      </c>
      <c r="D140" s="32">
        <v>4.85</v>
      </c>
      <c r="E140" s="32"/>
      <c r="F140" s="33">
        <v>6.2</v>
      </c>
      <c r="G140" s="33">
        <v>1.17</v>
      </c>
      <c r="H140" s="33"/>
      <c r="I140" s="34">
        <f t="shared" si="22"/>
        <v>1.17</v>
      </c>
      <c r="J140" s="35">
        <f t="shared" si="23"/>
        <v>0</v>
      </c>
      <c r="S140" s="36">
        <v>4.2</v>
      </c>
      <c r="T140" s="37">
        <v>0.7</v>
      </c>
      <c r="AI140" s="36">
        <v>5.5</v>
      </c>
      <c r="AJ140" s="37">
        <v>0.65</v>
      </c>
      <c r="AK140" s="37"/>
      <c r="AL140" s="37"/>
      <c r="AM140" s="37"/>
      <c r="AN140" s="37"/>
      <c r="AQ140" s="37"/>
      <c r="AR140" s="37"/>
      <c r="AS140" s="36"/>
      <c r="AT140" s="37"/>
      <c r="AU140" s="36"/>
      <c r="AV140" s="37"/>
      <c r="AW140" s="36"/>
      <c r="AX140" s="37"/>
      <c r="AY140" s="37"/>
      <c r="AZ140" s="37"/>
      <c r="BA140" s="36"/>
      <c r="BB140" s="37"/>
      <c r="BC140" s="37"/>
      <c r="BD140" s="37"/>
      <c r="BE140" s="37">
        <f>L140+N140+P140+R140+T140+V140+X140+Z140+AB140+AD140+AF140+AH140+AJ140+AL140+AN140+AP140+AR140+AT140+AV140+AX140+AZ140+BB140+BD140</f>
        <v>1.35</v>
      </c>
      <c r="BF140" s="38">
        <f>(K140*L140+M140*N140+O140*P140+Q140*R140+S140*T140+U140*V140+W140*X140+Y140*Z140+AA140*AB140+AC140*AD140+AE140*AF140+AG140*AH140+AI140*AJ140+AK140*AL140+AM140*AN140+AO140*AP140+AQ140*AR140+AS140*AT140+AU140*AV140+AW140*AX140+AY140*AZ140+BA140*BB140+BC140*BD140)/BE140</f>
        <v>4.825925925925926</v>
      </c>
      <c r="BG140" s="35">
        <f t="shared" si="24"/>
        <v>6.515000000000001</v>
      </c>
    </row>
    <row r="141" spans="1:59" ht="12.75">
      <c r="A141" s="29">
        <v>44053</v>
      </c>
      <c r="B141" s="30" t="s">
        <v>171</v>
      </c>
      <c r="C141" s="31">
        <f>1.1+1.7+1.2</f>
        <v>4</v>
      </c>
      <c r="D141" s="32">
        <f>2.9-1.7-1.2</f>
        <v>0</v>
      </c>
      <c r="E141" s="32"/>
      <c r="F141" s="33">
        <v>4</v>
      </c>
      <c r="G141" s="33">
        <v>1.06</v>
      </c>
      <c r="H141" s="33"/>
      <c r="I141" s="34">
        <f t="shared" si="22"/>
        <v>1.06</v>
      </c>
      <c r="J141" s="35">
        <f t="shared" si="23"/>
        <v>0</v>
      </c>
      <c r="AC141" s="36">
        <v>5</v>
      </c>
      <c r="AD141" s="37">
        <v>1.1</v>
      </c>
      <c r="AI141" s="36">
        <v>5.5</v>
      </c>
      <c r="AJ141" s="37">
        <v>2.9</v>
      </c>
      <c r="AK141" s="37"/>
      <c r="AL141" s="37"/>
      <c r="AM141" s="37"/>
      <c r="AN141" s="37"/>
      <c r="AQ141" s="37"/>
      <c r="AR141" s="37"/>
      <c r="AS141" s="36"/>
      <c r="AT141" s="37"/>
      <c r="AU141" s="36"/>
      <c r="AV141" s="37"/>
      <c r="AW141" s="36"/>
      <c r="AX141" s="37"/>
      <c r="AY141" s="37"/>
      <c r="AZ141" s="37"/>
      <c r="BA141" s="36"/>
      <c r="BB141" s="37"/>
      <c r="BC141" s="37"/>
      <c r="BD141" s="37"/>
      <c r="BE141" s="37">
        <f>L141+N141+P141+R141+T141+V141+X141+Z141+AB141+AD141+AF141+AH141+AJ141+AL141+AN141+AP141+AR141+AT141+AV141+AX141+AZ141+BB141+BD141</f>
        <v>4</v>
      </c>
      <c r="BF141" s="38">
        <f>(K141*L141+M141*N141+O141*P141+Q141*R141+S141*T141+U141*V141+W141*X141+Y141*Z141+AA141*AB141+AC141*AD141+AE141*AF141+AG141*AH141+AI141*AJ141+AK141*AL141+AM141*AN141+AO141*AP141+AQ141*AR141+AS141*AT141+AU141*AV141+AW141*AX141+AY141*AZ141+BA141*BB141+BC141*BD141)/BE141</f>
        <v>5.3625</v>
      </c>
      <c r="BG141" s="35">
        <f t="shared" si="24"/>
        <v>21.45</v>
      </c>
    </row>
    <row r="142" spans="1:59" ht="12.75">
      <c r="A142" s="29">
        <v>44054</v>
      </c>
      <c r="B142" s="30" t="s">
        <v>172</v>
      </c>
      <c r="C142" s="31">
        <v>2.4</v>
      </c>
      <c r="D142" s="32"/>
      <c r="E142" s="32"/>
      <c r="F142" s="33">
        <v>2.4</v>
      </c>
      <c r="G142" s="33">
        <v>0.88</v>
      </c>
      <c r="H142" s="33"/>
      <c r="I142" s="34">
        <f t="shared" si="22"/>
        <v>0.88</v>
      </c>
      <c r="J142" s="35">
        <f t="shared" si="23"/>
        <v>0</v>
      </c>
      <c r="AC142" s="36">
        <v>5</v>
      </c>
      <c r="AD142" s="37">
        <v>2.4</v>
      </c>
      <c r="AK142" s="37"/>
      <c r="AL142" s="37"/>
      <c r="AM142" s="37"/>
      <c r="AN142" s="37"/>
      <c r="AO142" s="36"/>
      <c r="AP142" s="37"/>
      <c r="AQ142" s="37"/>
      <c r="AR142" s="37"/>
      <c r="AS142" s="36"/>
      <c r="AT142" s="37"/>
      <c r="AU142" s="36"/>
      <c r="AV142" s="37"/>
      <c r="AW142" s="36"/>
      <c r="AX142" s="37"/>
      <c r="AY142" s="37"/>
      <c r="AZ142" s="37"/>
      <c r="BA142" s="36"/>
      <c r="BB142" s="37"/>
      <c r="BC142" s="37"/>
      <c r="BD142" s="37"/>
      <c r="BE142" s="37">
        <f>L142+N142+P142+R142+T142+V142+X142+Z142+AB142+AD142+AF142+AH142+AJ142+AL142+AN142+AP142+AR142+AT142+AV142+AX142+AZ142+BB142+BD142</f>
        <v>2.4</v>
      </c>
      <c r="BF142" s="38">
        <f>(K142*L142+M142*N142+O142*P142+Q142*R142+S142*T142+U142*V142+W142*X142+Y142*Z142+AA142*AB142+AC142*AD142+AE142*AF142+AG142*AH142+AI142*AJ142+AK142*AL142+AM142*AN142+AO142*AP142+AQ142*AR142+AS142*AT142+AU142*AV142+AW142*AX142+AY142*AZ142+BA142*BB142+BC142*BD142)/BE142</f>
        <v>5</v>
      </c>
      <c r="BG142" s="35">
        <f t="shared" si="24"/>
        <v>12</v>
      </c>
    </row>
    <row r="143" spans="1:59" ht="12.75">
      <c r="A143" s="29">
        <v>44055</v>
      </c>
      <c r="B143" s="30" t="s">
        <v>173</v>
      </c>
      <c r="C143" s="31">
        <v>7.4</v>
      </c>
      <c r="D143" s="32">
        <v>5.9</v>
      </c>
      <c r="E143" s="32"/>
      <c r="F143" s="33">
        <v>13.3</v>
      </c>
      <c r="G143" s="33">
        <v>2.31</v>
      </c>
      <c r="H143" s="33">
        <v>0.6000000000000001</v>
      </c>
      <c r="I143" s="34">
        <f t="shared" si="22"/>
        <v>2.91</v>
      </c>
      <c r="J143" s="35">
        <f t="shared" si="23"/>
        <v>0</v>
      </c>
      <c r="Q143" s="36">
        <v>4</v>
      </c>
      <c r="R143" s="37">
        <v>1.5</v>
      </c>
      <c r="AC143" s="36">
        <v>5</v>
      </c>
      <c r="AD143" s="37">
        <v>5.9</v>
      </c>
      <c r="AK143" s="37"/>
      <c r="AL143" s="37"/>
      <c r="AM143" s="37"/>
      <c r="AN143" s="37"/>
      <c r="AQ143" s="37"/>
      <c r="AR143" s="37"/>
      <c r="AS143" s="36"/>
      <c r="AT143" s="37"/>
      <c r="AU143" s="36"/>
      <c r="AV143" s="37"/>
      <c r="AW143" s="36"/>
      <c r="AX143" s="37"/>
      <c r="AY143" s="37"/>
      <c r="AZ143" s="37"/>
      <c r="BA143" s="36"/>
      <c r="BB143" s="37"/>
      <c r="BC143" s="37"/>
      <c r="BD143" s="37"/>
      <c r="BE143" s="37">
        <f>L143+N143+P143+R143+T143+V143+X143+Z143+AB143+AD143+AF143+AH143+AJ143+AL143+AN143+AP143+AR143+AT143+AV143+AX143+AZ143+BB143+BD143</f>
        <v>7.4</v>
      </c>
      <c r="BF143" s="38">
        <f>(K143*L143+M143*N143+O143*P143+Q143*R143+S143*T143+U143*V143+W143*X143+Y143*Z143+AA143*AB143+AC143*AD143+AE143*AF143+AG143*AH143+AI143*AJ143+AK143*AL143+AM143*AN143+AO143*AP143+AQ143*AR143+AS143*AT143+AU143*AV143+AW143*AX143+AY143*AZ143+BA143*BB143+BC143*BD143)/BE143</f>
        <v>4.797297297297297</v>
      </c>
      <c r="BG143" s="35">
        <f t="shared" si="24"/>
        <v>35.5</v>
      </c>
    </row>
    <row r="144" spans="1:59" ht="12.75">
      <c r="A144" s="29">
        <v>44056</v>
      </c>
      <c r="B144" s="30" t="s">
        <v>174</v>
      </c>
      <c r="C144" s="31">
        <v>0</v>
      </c>
      <c r="D144" s="32">
        <v>1</v>
      </c>
      <c r="E144" s="32"/>
      <c r="F144" s="33">
        <v>1</v>
      </c>
      <c r="G144" s="33"/>
      <c r="H144" s="33">
        <v>0.2</v>
      </c>
      <c r="I144" s="34">
        <f t="shared" si="22"/>
        <v>0.2</v>
      </c>
      <c r="J144" s="35">
        <f t="shared" si="23"/>
        <v>0</v>
      </c>
      <c r="AI144" s="36"/>
      <c r="AJ144" s="37"/>
      <c r="AK144" s="37"/>
      <c r="AL144" s="37"/>
      <c r="AM144" s="37"/>
      <c r="AN144" s="37"/>
      <c r="AO144" s="36"/>
      <c r="AP144" s="37"/>
      <c r="AQ144" s="37"/>
      <c r="AR144" s="37"/>
      <c r="AS144" s="36"/>
      <c r="AT144" s="37"/>
      <c r="AU144" s="36"/>
      <c r="AV144" s="37"/>
      <c r="AW144" s="36"/>
      <c r="AX144" s="37"/>
      <c r="AY144" s="37"/>
      <c r="AZ144" s="37"/>
      <c r="BA144" s="36"/>
      <c r="BB144" s="37"/>
      <c r="BC144" s="37"/>
      <c r="BD144" s="37"/>
      <c r="BE144" s="37">
        <f>AJ144+AP144+AT144+AV144+AX144+BB144</f>
        <v>0</v>
      </c>
      <c r="BF144" s="38"/>
      <c r="BG144" s="35">
        <f t="shared" si="24"/>
        <v>0</v>
      </c>
    </row>
    <row r="145" spans="1:59" ht="12.75">
      <c r="A145" s="112">
        <v>44057</v>
      </c>
      <c r="B145" s="113" t="s">
        <v>175</v>
      </c>
      <c r="C145" s="114">
        <v>4.9</v>
      </c>
      <c r="D145" s="115">
        <v>1.8</v>
      </c>
      <c r="E145" s="115"/>
      <c r="F145" s="116">
        <v>6.7</v>
      </c>
      <c r="G145" s="33">
        <v>0.77</v>
      </c>
      <c r="H145" s="33"/>
      <c r="I145" s="34">
        <f t="shared" si="22"/>
        <v>0.77</v>
      </c>
      <c r="J145" s="35">
        <f t="shared" si="23"/>
        <v>0</v>
      </c>
      <c r="Y145" s="36">
        <v>4.5</v>
      </c>
      <c r="Z145" s="37">
        <v>0.30000000000000004</v>
      </c>
      <c r="AC145" s="36">
        <v>5</v>
      </c>
      <c r="AD145" s="37">
        <v>4.6</v>
      </c>
      <c r="AK145" s="37"/>
      <c r="AL145" s="37"/>
      <c r="AM145" s="37"/>
      <c r="AN145" s="37"/>
      <c r="AQ145" s="37"/>
      <c r="AR145" s="37"/>
      <c r="AS145" s="36"/>
      <c r="AT145" s="37"/>
      <c r="AU145" s="36"/>
      <c r="AV145" s="37"/>
      <c r="AW145" s="36"/>
      <c r="AX145" s="37"/>
      <c r="AY145" s="37"/>
      <c r="AZ145" s="37"/>
      <c r="BA145" s="36"/>
      <c r="BB145" s="37"/>
      <c r="BC145" s="37"/>
      <c r="BD145" s="37"/>
      <c r="BE145" s="37">
        <f>L145+N145+P145+R145+T145+V145+X145+Z145+AB145+AD145+AF145+AH145+AJ145+AL145+AN145+AP145+AR145+AT145+AV145+AX145+AZ145+BB145+BD145</f>
        <v>4.8999999999999995</v>
      </c>
      <c r="BF145" s="38">
        <f>(K145*L145+M145*N145+O145*P145+Q145*R145+S145*T145+U145*V145+W145*X145+Y145*Z145+AA145*AB145+AC145*AD145+AE145*AF145+AG145*AH145+AI145*AJ145+AK145*AL145+AM145*AN145+AO145*AP145+AQ145*AR145+AS145*AT145+AU145*AV145+AW145*AX145+AY145*AZ145+BA145*BB145+BC145*BD145)/BE145</f>
        <v>4.969387755102042</v>
      </c>
      <c r="BG145" s="35">
        <f t="shared" si="24"/>
        <v>24.35</v>
      </c>
    </row>
    <row r="146" spans="1:59" ht="12.75">
      <c r="A146" s="29">
        <v>44061</v>
      </c>
      <c r="B146" s="30" t="s">
        <v>268</v>
      </c>
      <c r="C146" s="31">
        <v>0</v>
      </c>
      <c r="D146" s="72">
        <v>2</v>
      </c>
      <c r="E146" s="72"/>
      <c r="F146" s="33">
        <v>2</v>
      </c>
      <c r="G146" s="33"/>
      <c r="H146" s="33"/>
      <c r="I146" s="34">
        <f t="shared" si="22"/>
        <v>0</v>
      </c>
      <c r="J146" s="35">
        <f t="shared" si="23"/>
        <v>0</v>
      </c>
      <c r="AI146" s="36"/>
      <c r="AJ146" s="37"/>
      <c r="AK146" s="37"/>
      <c r="AL146" s="37"/>
      <c r="AM146" s="37"/>
      <c r="AN146" s="37"/>
      <c r="AO146" s="36"/>
      <c r="AP146" s="37"/>
      <c r="AQ146" s="37"/>
      <c r="AR146" s="37"/>
      <c r="AS146" s="36"/>
      <c r="AT146" s="37"/>
      <c r="AU146" s="36"/>
      <c r="AV146" s="37"/>
      <c r="AW146" s="36"/>
      <c r="AX146" s="37"/>
      <c r="AY146" s="37"/>
      <c r="AZ146" s="37"/>
      <c r="BA146" s="36"/>
      <c r="BB146" s="37"/>
      <c r="BC146" s="37"/>
      <c r="BD146" s="37"/>
      <c r="BE146" s="37">
        <f>AJ146+AP146+AT146+AV146+AX146+BB146</f>
        <v>0</v>
      </c>
      <c r="BF146" s="38"/>
      <c r="BG146" s="35">
        <f t="shared" si="24"/>
        <v>0</v>
      </c>
    </row>
    <row r="147" spans="1:59" ht="12.75">
      <c r="A147" s="29">
        <v>44064</v>
      </c>
      <c r="B147" s="30" t="s">
        <v>176</v>
      </c>
      <c r="C147" s="31">
        <v>1.8</v>
      </c>
      <c r="D147" s="72">
        <v>5</v>
      </c>
      <c r="E147" s="72"/>
      <c r="F147" s="33">
        <v>6.8</v>
      </c>
      <c r="G147" s="33"/>
      <c r="H147" s="33"/>
      <c r="I147" s="34">
        <f t="shared" si="22"/>
        <v>0</v>
      </c>
      <c r="J147" s="35">
        <f t="shared" si="23"/>
        <v>0</v>
      </c>
      <c r="Q147" s="36">
        <v>4</v>
      </c>
      <c r="R147" s="37">
        <v>1.6</v>
      </c>
      <c r="AI147" s="36">
        <v>5.5</v>
      </c>
      <c r="AJ147" s="37">
        <v>0.2</v>
      </c>
      <c r="AK147" s="37"/>
      <c r="AL147" s="37"/>
      <c r="AM147" s="37"/>
      <c r="AN147" s="37"/>
      <c r="AQ147" s="37"/>
      <c r="AR147" s="37"/>
      <c r="AS147" s="36"/>
      <c r="AT147" s="37"/>
      <c r="AU147" s="36"/>
      <c r="AV147" s="37"/>
      <c r="AW147" s="36"/>
      <c r="AX147" s="37"/>
      <c r="AY147" s="37"/>
      <c r="AZ147" s="37"/>
      <c r="BA147" s="36"/>
      <c r="BB147" s="37"/>
      <c r="BC147" s="37"/>
      <c r="BD147" s="37"/>
      <c r="BE147" s="37">
        <f>L147+N147+P147+R147+T147+V147+X147+Z147+AB147+AD147+AF147+AH147+AJ147+AL147+AN147+AP147+AR147+AT147+AV147+AX147+AZ147+BB147+BD147</f>
        <v>1.8</v>
      </c>
      <c r="BF147" s="38">
        <f>(K147*L147+M147*N147+O147*P147+Q147*R147+S147*T147+U147*V147+W147*X147+Y147*Z147+AA147*AB147+AC147*AD147+AE147*AF147+AG147*AH147+AI147*AJ147+AK147*AL147+AM147*AN147+AO147*AP147+AQ147*AR147+AS147*AT147+AU147*AV147+AW147*AX147+AY147*AZ147+BA147*BB147+BC147*BD147)/BE147</f>
        <v>4.166666666666667</v>
      </c>
      <c r="BG147" s="35">
        <f t="shared" si="24"/>
        <v>7.500000000000001</v>
      </c>
    </row>
    <row r="148" spans="1:59" ht="12.75">
      <c r="A148" s="29">
        <v>44083</v>
      </c>
      <c r="B148" s="30" t="s">
        <v>177</v>
      </c>
      <c r="C148" s="31">
        <v>2.8</v>
      </c>
      <c r="D148" s="32"/>
      <c r="E148" s="32"/>
      <c r="F148" s="33">
        <v>2.8</v>
      </c>
      <c r="G148" s="33">
        <v>0.79</v>
      </c>
      <c r="H148" s="33"/>
      <c r="I148" s="34">
        <f t="shared" si="22"/>
        <v>0.79</v>
      </c>
      <c r="J148" s="35">
        <f t="shared" si="23"/>
        <v>0</v>
      </c>
      <c r="AI148" s="36">
        <v>5.5</v>
      </c>
      <c r="AJ148" s="37">
        <v>2.8</v>
      </c>
      <c r="AK148" s="37"/>
      <c r="AL148" s="37"/>
      <c r="AM148" s="37"/>
      <c r="AN148" s="37"/>
      <c r="AO148" s="36"/>
      <c r="AP148" s="37"/>
      <c r="AQ148" s="37"/>
      <c r="AR148" s="37"/>
      <c r="AS148" s="36"/>
      <c r="AT148" s="37"/>
      <c r="AU148" s="36"/>
      <c r="AV148" s="37"/>
      <c r="AW148" s="36"/>
      <c r="AX148" s="37"/>
      <c r="AY148" s="37"/>
      <c r="AZ148" s="37"/>
      <c r="BA148" s="36"/>
      <c r="BB148" s="37"/>
      <c r="BC148" s="37"/>
      <c r="BD148" s="37"/>
      <c r="BE148" s="37">
        <f>L148+N148+P148+R148+T148+V148+X148+Z148+AB148+AD148+AF148+AH148+AJ148+AL148+AN148+AP148+AR148+AT148+AV148+AX148+AZ148+BB148+BD148</f>
        <v>2.8</v>
      </c>
      <c r="BF148" s="38">
        <f>(K148*L148+M148*N148+O148*P148+Q148*R148+S148*T148+U148*V148+W148*X148+Y148*Z148+AA148*AB148+AC148*AD148+AE148*AF148+AG148*AH148+AI148*AJ148+AK148*AL148+AM148*AN148+AO148*AP148+AQ148*AR148+AS148*AT148+AU148*AV148+AW148*AX148+AY148*AZ148+BA148*BB148+BC148*BD148)/BE148</f>
        <v>5.5</v>
      </c>
      <c r="BG148" s="35">
        <f t="shared" si="24"/>
        <v>15.399999999999999</v>
      </c>
    </row>
    <row r="149" spans="1:59" ht="12.75">
      <c r="A149" s="29">
        <v>44084</v>
      </c>
      <c r="B149" s="30" t="s">
        <v>178</v>
      </c>
      <c r="C149" s="31">
        <v>0.9</v>
      </c>
      <c r="D149" s="32"/>
      <c r="E149" s="32"/>
      <c r="F149" s="33">
        <v>0.9</v>
      </c>
      <c r="G149" s="33">
        <v>0.9</v>
      </c>
      <c r="H149" s="33"/>
      <c r="I149" s="34">
        <f t="shared" si="22"/>
        <v>0.9</v>
      </c>
      <c r="J149" s="35">
        <f t="shared" si="23"/>
        <v>0</v>
      </c>
      <c r="AC149" s="36">
        <v>5</v>
      </c>
      <c r="AD149" s="37">
        <v>0.9</v>
      </c>
      <c r="AK149" s="37"/>
      <c r="AL149" s="37"/>
      <c r="AM149" s="37"/>
      <c r="AN149" s="37"/>
      <c r="AO149" s="36"/>
      <c r="AP149" s="37"/>
      <c r="AQ149" s="37"/>
      <c r="AR149" s="37"/>
      <c r="AS149" s="36"/>
      <c r="AT149" s="37"/>
      <c r="AU149" s="36"/>
      <c r="AV149" s="37"/>
      <c r="AW149" s="36"/>
      <c r="AX149" s="37"/>
      <c r="AY149" s="37"/>
      <c r="AZ149" s="37"/>
      <c r="BA149" s="36"/>
      <c r="BB149" s="37"/>
      <c r="BC149" s="37"/>
      <c r="BD149" s="37"/>
      <c r="BE149" s="37">
        <f>L149+N149+P149+R149+T149+V149+X149+Z149+AB149+AD149+AF149+AH149+AJ149+AL149+AN149+AP149+AR149+AT149+AV149+AX149+AZ149+BB149+BD149</f>
        <v>0.9</v>
      </c>
      <c r="BF149" s="38">
        <f>(K149*L149+M149*N149+O149*P149+Q149*R149+S149*T149+U149*V149+W149*X149+Y149*Z149+AA149*AB149+AC149*AD149+AE149*AF149+AG149*AH149+AI149*AJ149+AK149*AL149+AM149*AN149+AO149*AP149+AQ149*AR149+AS149*AT149+AU149*AV149+AW149*AX149+AY149*AZ149+BA149*BB149+BC149*BD149)/BE149</f>
        <v>5</v>
      </c>
      <c r="BG149" s="35">
        <f t="shared" si="24"/>
        <v>4.5</v>
      </c>
    </row>
    <row r="150" spans="1:59" ht="12.75">
      <c r="A150" s="29">
        <v>44085</v>
      </c>
      <c r="B150" s="30" t="s">
        <v>179</v>
      </c>
      <c r="C150" s="31">
        <v>0</v>
      </c>
      <c r="D150" s="72">
        <v>3.1</v>
      </c>
      <c r="E150" s="72"/>
      <c r="F150" s="33">
        <v>3.1</v>
      </c>
      <c r="G150" s="33"/>
      <c r="H150" s="33"/>
      <c r="I150" s="34">
        <f t="shared" si="22"/>
        <v>0</v>
      </c>
      <c r="J150" s="35">
        <f t="shared" si="23"/>
        <v>0</v>
      </c>
      <c r="AI150" s="36"/>
      <c r="AJ150" s="37"/>
      <c r="AK150" s="37"/>
      <c r="AL150" s="37"/>
      <c r="AM150" s="37"/>
      <c r="AN150" s="37"/>
      <c r="AO150" s="36"/>
      <c r="AP150" s="37"/>
      <c r="AQ150" s="37"/>
      <c r="AR150" s="37"/>
      <c r="AS150" s="36"/>
      <c r="AT150" s="37"/>
      <c r="AU150" s="36"/>
      <c r="AV150" s="37"/>
      <c r="AW150" s="36"/>
      <c r="AX150" s="37"/>
      <c r="AY150" s="37"/>
      <c r="AZ150" s="37"/>
      <c r="BA150" s="36"/>
      <c r="BB150" s="37"/>
      <c r="BC150" s="37"/>
      <c r="BD150" s="37"/>
      <c r="BE150" s="37">
        <f>AJ150+AP150+AT150+AV150+AX150+BB150</f>
        <v>0</v>
      </c>
      <c r="BF150" s="38"/>
      <c r="BG150" s="35">
        <f t="shared" si="24"/>
        <v>0</v>
      </c>
    </row>
    <row r="151" spans="1:59" ht="12.75">
      <c r="A151" s="29">
        <v>44086</v>
      </c>
      <c r="B151" s="30" t="s">
        <v>180</v>
      </c>
      <c r="C151" s="31">
        <v>4.3</v>
      </c>
      <c r="D151" s="32">
        <v>1.034</v>
      </c>
      <c r="E151" s="32"/>
      <c r="F151" s="33">
        <v>5.334</v>
      </c>
      <c r="G151" s="33"/>
      <c r="H151" s="33"/>
      <c r="I151" s="34">
        <f t="shared" si="22"/>
        <v>0</v>
      </c>
      <c r="J151" s="35">
        <f t="shared" si="23"/>
        <v>0</v>
      </c>
      <c r="Q151" s="36">
        <v>4</v>
      </c>
      <c r="R151" s="37">
        <v>2.61</v>
      </c>
      <c r="AI151" s="36">
        <v>5.5</v>
      </c>
      <c r="AJ151" s="37">
        <v>1.69</v>
      </c>
      <c r="AK151" s="37"/>
      <c r="AL151" s="37"/>
      <c r="AM151" s="37"/>
      <c r="AN151" s="37"/>
      <c r="AQ151" s="37"/>
      <c r="AR151" s="37"/>
      <c r="AS151" s="36"/>
      <c r="AT151" s="37"/>
      <c r="AU151" s="36"/>
      <c r="AV151" s="37"/>
      <c r="AW151" s="36"/>
      <c r="AX151" s="37"/>
      <c r="AY151" s="37"/>
      <c r="AZ151" s="37"/>
      <c r="BA151" s="36"/>
      <c r="BB151" s="37"/>
      <c r="BC151" s="37"/>
      <c r="BD151" s="37"/>
      <c r="BE151" s="37">
        <f aca="true" t="shared" si="25" ref="BE151:BE176">L151+N151+P151+R151+T151+V151+X151+Z151+AB151+AD151+AF151+AH151+AJ151+AL151+AN151+AP151+AR151+AT151+AV151+AX151+AZ151+BB151+BD151</f>
        <v>4.3</v>
      </c>
      <c r="BF151" s="38">
        <f aca="true" t="shared" si="26" ref="BF151:BF172">(K151*L151+M151*N151+O151*P151+Q151*R151+S151*T151+U151*V151+W151*X151+Y151*Z151+AA151*AB151+AC151*AD151+AE151*AF151+AG151*AH151+AI151*AJ151+AK151*AL151+AM151*AN151+AO151*AP151+AQ151*AR151+AS151*AT151+AU151*AV151+AW151*AX151+AY151*AZ151+BA151*BB151+BC151*BD151)/BE151</f>
        <v>4.589534883720931</v>
      </c>
      <c r="BG151" s="35">
        <f t="shared" si="24"/>
        <v>19.735</v>
      </c>
    </row>
    <row r="152" spans="1:59" ht="12.75">
      <c r="A152" s="29">
        <v>44090</v>
      </c>
      <c r="B152" s="30" t="s">
        <v>181</v>
      </c>
      <c r="C152" s="31">
        <v>1.08</v>
      </c>
      <c r="D152" s="32">
        <v>4.92</v>
      </c>
      <c r="E152" s="32"/>
      <c r="F152" s="33">
        <v>6</v>
      </c>
      <c r="G152" s="33">
        <v>1.1400000000000001</v>
      </c>
      <c r="H152" s="33"/>
      <c r="I152" s="34">
        <f t="shared" si="22"/>
        <v>1.1400000000000001</v>
      </c>
      <c r="J152" s="35">
        <f t="shared" si="23"/>
        <v>0</v>
      </c>
      <c r="Q152" s="36">
        <v>4</v>
      </c>
      <c r="R152" s="37">
        <v>0.71</v>
      </c>
      <c r="AE152" s="36">
        <v>5.2</v>
      </c>
      <c r="AF152" s="37">
        <v>0.37</v>
      </c>
      <c r="AK152" s="37"/>
      <c r="AL152" s="37"/>
      <c r="AM152" s="37"/>
      <c r="AN152" s="37"/>
      <c r="AQ152" s="37"/>
      <c r="AR152" s="37"/>
      <c r="AS152" s="36"/>
      <c r="AT152" s="37"/>
      <c r="AU152" s="36"/>
      <c r="AV152" s="37"/>
      <c r="AW152" s="36"/>
      <c r="AX152" s="37"/>
      <c r="AY152" s="37"/>
      <c r="AZ152" s="37"/>
      <c r="BA152" s="36"/>
      <c r="BB152" s="37"/>
      <c r="BC152" s="37"/>
      <c r="BD152" s="37"/>
      <c r="BE152" s="37">
        <f t="shared" si="25"/>
        <v>1.08</v>
      </c>
      <c r="BF152" s="38">
        <f t="shared" si="26"/>
        <v>4.4111111111111105</v>
      </c>
      <c r="BG152" s="35">
        <f t="shared" si="24"/>
        <v>4.763999999999999</v>
      </c>
    </row>
    <row r="153" spans="1:59" ht="12.75">
      <c r="A153" s="29">
        <v>44091</v>
      </c>
      <c r="B153" s="30" t="s">
        <v>182</v>
      </c>
      <c r="C153" s="31">
        <v>0.4</v>
      </c>
      <c r="D153" s="72"/>
      <c r="E153" s="72"/>
      <c r="F153" s="33">
        <v>0.4</v>
      </c>
      <c r="G153" s="33">
        <v>0.4</v>
      </c>
      <c r="H153" s="33"/>
      <c r="I153" s="34">
        <f t="shared" si="22"/>
        <v>0.4</v>
      </c>
      <c r="J153" s="35">
        <f t="shared" si="23"/>
        <v>0</v>
      </c>
      <c r="M153" s="36">
        <v>3</v>
      </c>
      <c r="N153" s="37">
        <v>0.4</v>
      </c>
      <c r="AK153" s="37"/>
      <c r="AL153" s="37"/>
      <c r="AM153" s="37"/>
      <c r="AN153" s="37"/>
      <c r="AO153" s="36"/>
      <c r="AP153" s="37"/>
      <c r="AQ153" s="37"/>
      <c r="AR153" s="37"/>
      <c r="AS153" s="36"/>
      <c r="AT153" s="37"/>
      <c r="AU153" s="36"/>
      <c r="AV153" s="37"/>
      <c r="AW153" s="36"/>
      <c r="AX153" s="37"/>
      <c r="AY153" s="37"/>
      <c r="AZ153" s="37"/>
      <c r="BA153" s="36"/>
      <c r="BB153" s="37"/>
      <c r="BC153" s="37"/>
      <c r="BD153" s="37"/>
      <c r="BE153" s="37">
        <f t="shared" si="25"/>
        <v>0.4</v>
      </c>
      <c r="BF153" s="38">
        <f t="shared" si="26"/>
        <v>3.0000000000000004</v>
      </c>
      <c r="BG153" s="35">
        <f t="shared" si="24"/>
        <v>1.2000000000000002</v>
      </c>
    </row>
    <row r="154" spans="1:59" ht="24.75">
      <c r="A154" s="29">
        <v>44092</v>
      </c>
      <c r="B154" s="30" t="s">
        <v>183</v>
      </c>
      <c r="C154" s="31">
        <v>0.9</v>
      </c>
      <c r="D154" s="32"/>
      <c r="E154" s="32"/>
      <c r="F154" s="33">
        <v>0.9</v>
      </c>
      <c r="G154" s="33">
        <v>0.9</v>
      </c>
      <c r="H154" s="33"/>
      <c r="I154" s="34">
        <f t="shared" si="22"/>
        <v>0.9</v>
      </c>
      <c r="J154" s="35">
        <f t="shared" si="23"/>
        <v>0</v>
      </c>
      <c r="AK154" s="37"/>
      <c r="AL154" s="37"/>
      <c r="AM154" s="37"/>
      <c r="AN154" s="37"/>
      <c r="AO154" s="36">
        <v>6</v>
      </c>
      <c r="AP154" s="37">
        <v>0.55</v>
      </c>
      <c r="AQ154" s="37"/>
      <c r="AR154" s="37"/>
      <c r="AS154" s="36"/>
      <c r="AT154" s="37"/>
      <c r="AU154" s="36">
        <v>7</v>
      </c>
      <c r="AV154" s="37">
        <v>0.35</v>
      </c>
      <c r="AW154" s="36"/>
      <c r="AX154" s="37"/>
      <c r="AY154" s="37"/>
      <c r="AZ154" s="37"/>
      <c r="BA154" s="36"/>
      <c r="BB154" s="37"/>
      <c r="BC154" s="37"/>
      <c r="BD154" s="37"/>
      <c r="BE154" s="37">
        <f t="shared" si="25"/>
        <v>0.9</v>
      </c>
      <c r="BF154" s="38">
        <f t="shared" si="26"/>
        <v>6.388888888888888</v>
      </c>
      <c r="BG154" s="35">
        <f t="shared" si="24"/>
        <v>5.75</v>
      </c>
    </row>
    <row r="155" spans="1:59" ht="24.75">
      <c r="A155" s="29">
        <v>44093</v>
      </c>
      <c r="B155" s="30" t="s">
        <v>184</v>
      </c>
      <c r="C155" s="31">
        <f>13.68+0.92</f>
        <v>14.6</v>
      </c>
      <c r="D155" s="32">
        <f>F155-C155</f>
        <v>2.700000000000001</v>
      </c>
      <c r="E155" s="32"/>
      <c r="F155" s="33">
        <v>17.3</v>
      </c>
      <c r="G155" s="33">
        <v>4</v>
      </c>
      <c r="H155" s="33">
        <v>1.35</v>
      </c>
      <c r="I155" s="34">
        <f t="shared" si="22"/>
        <v>5.35</v>
      </c>
      <c r="J155" s="35">
        <f t="shared" si="23"/>
        <v>0</v>
      </c>
      <c r="AK155" s="37"/>
      <c r="AL155" s="37"/>
      <c r="AM155" s="37"/>
      <c r="AN155" s="37"/>
      <c r="AO155" s="36">
        <v>6</v>
      </c>
      <c r="AP155" s="37">
        <v>14.6</v>
      </c>
      <c r="AQ155" s="37"/>
      <c r="AR155" s="37"/>
      <c r="AS155" s="36"/>
      <c r="AT155" s="37"/>
      <c r="AU155" s="36"/>
      <c r="AV155" s="37"/>
      <c r="AW155" s="36"/>
      <c r="AX155" s="37"/>
      <c r="AY155" s="37"/>
      <c r="AZ155" s="37"/>
      <c r="BA155" s="36"/>
      <c r="BB155" s="37"/>
      <c r="BC155" s="37"/>
      <c r="BD155" s="37"/>
      <c r="BE155" s="37">
        <f t="shared" si="25"/>
        <v>14.6</v>
      </c>
      <c r="BF155" s="38">
        <f t="shared" si="26"/>
        <v>6</v>
      </c>
      <c r="BG155" s="35">
        <f t="shared" si="24"/>
        <v>87.6</v>
      </c>
    </row>
    <row r="156" spans="1:61" ht="12.75">
      <c r="A156" s="29">
        <v>44094</v>
      </c>
      <c r="B156" s="30" t="s">
        <v>185</v>
      </c>
      <c r="C156" s="31">
        <v>3.8</v>
      </c>
      <c r="D156" s="32"/>
      <c r="E156" s="32"/>
      <c r="F156" s="33">
        <v>3.8</v>
      </c>
      <c r="G156" s="33">
        <v>1.63</v>
      </c>
      <c r="H156" s="33"/>
      <c r="I156" s="34">
        <f t="shared" si="22"/>
        <v>1.63</v>
      </c>
      <c r="J156" s="35">
        <f t="shared" si="23"/>
        <v>0</v>
      </c>
      <c r="O156" s="36">
        <v>3.5</v>
      </c>
      <c r="P156" s="37">
        <v>1.88</v>
      </c>
      <c r="AI156" s="36">
        <v>5.5</v>
      </c>
      <c r="AJ156" s="37">
        <v>1.92</v>
      </c>
      <c r="AK156" s="37"/>
      <c r="AL156" s="37"/>
      <c r="AM156" s="37"/>
      <c r="AN156" s="37"/>
      <c r="AQ156" s="37"/>
      <c r="AR156" s="37"/>
      <c r="AS156" s="36"/>
      <c r="AT156" s="37"/>
      <c r="AU156" s="36"/>
      <c r="AV156" s="37"/>
      <c r="AW156" s="36"/>
      <c r="AX156" s="37"/>
      <c r="AY156" s="37"/>
      <c r="AZ156" s="37"/>
      <c r="BA156" s="36"/>
      <c r="BB156" s="37"/>
      <c r="BC156" s="37"/>
      <c r="BD156" s="37"/>
      <c r="BE156" s="37">
        <f t="shared" si="25"/>
        <v>3.8</v>
      </c>
      <c r="BF156" s="38">
        <f t="shared" si="26"/>
        <v>4.510526315789474</v>
      </c>
      <c r="BG156" s="35">
        <f t="shared" si="24"/>
        <v>17.14</v>
      </c>
      <c r="BI156" s="75" t="s">
        <v>186</v>
      </c>
    </row>
    <row r="157" spans="1:59" ht="22.5">
      <c r="A157" s="29">
        <v>44095</v>
      </c>
      <c r="B157" s="30" t="s">
        <v>187</v>
      </c>
      <c r="C157" s="31">
        <v>0.1</v>
      </c>
      <c r="D157" s="32">
        <v>4.8</v>
      </c>
      <c r="E157" s="32"/>
      <c r="F157" s="33">
        <v>4.8999999999999995</v>
      </c>
      <c r="G157" s="33"/>
      <c r="H157" s="33"/>
      <c r="I157" s="34">
        <f t="shared" si="22"/>
        <v>0</v>
      </c>
      <c r="J157" s="35">
        <f t="shared" si="23"/>
        <v>0</v>
      </c>
      <c r="M157" s="36">
        <v>3</v>
      </c>
      <c r="N157" s="37">
        <v>0.1</v>
      </c>
      <c r="AK157" s="37"/>
      <c r="AL157" s="37"/>
      <c r="AM157" s="37"/>
      <c r="AN157" s="37"/>
      <c r="AO157" s="36"/>
      <c r="AP157" s="37"/>
      <c r="AQ157" s="37"/>
      <c r="AR157" s="37"/>
      <c r="AS157" s="36"/>
      <c r="AT157" s="37"/>
      <c r="AU157" s="36"/>
      <c r="AV157" s="37"/>
      <c r="AW157" s="36"/>
      <c r="AX157" s="37"/>
      <c r="AY157" s="37"/>
      <c r="AZ157" s="37"/>
      <c r="BA157" s="36"/>
      <c r="BB157" s="37"/>
      <c r="BC157" s="37"/>
      <c r="BD157" s="37"/>
      <c r="BE157" s="37">
        <f t="shared" si="25"/>
        <v>0.1</v>
      </c>
      <c r="BF157" s="38">
        <f t="shared" si="26"/>
        <v>3.0000000000000004</v>
      </c>
      <c r="BG157" s="35">
        <f t="shared" si="24"/>
        <v>0.30000000000000004</v>
      </c>
    </row>
    <row r="158" spans="1:59" ht="12.75">
      <c r="A158" s="29">
        <v>44097</v>
      </c>
      <c r="B158" s="30" t="s">
        <v>188</v>
      </c>
      <c r="C158" s="31">
        <v>1.1</v>
      </c>
      <c r="D158" s="32"/>
      <c r="E158" s="32"/>
      <c r="F158" s="33">
        <v>1.1</v>
      </c>
      <c r="G158" s="33">
        <v>0.2</v>
      </c>
      <c r="H158" s="33"/>
      <c r="I158" s="34">
        <f t="shared" si="22"/>
        <v>0.2</v>
      </c>
      <c r="J158" s="35">
        <f t="shared" si="23"/>
        <v>0</v>
      </c>
      <c r="M158" s="36">
        <v>3</v>
      </c>
      <c r="N158" s="37">
        <v>1.1</v>
      </c>
      <c r="AK158" s="37"/>
      <c r="AL158" s="37"/>
      <c r="AM158" s="37"/>
      <c r="AN158" s="37"/>
      <c r="AO158" s="36"/>
      <c r="AP158" s="37"/>
      <c r="AQ158" s="37"/>
      <c r="AR158" s="37"/>
      <c r="AS158" s="36"/>
      <c r="AT158" s="37"/>
      <c r="AU158" s="36"/>
      <c r="AV158" s="37"/>
      <c r="AW158" s="36"/>
      <c r="AX158" s="37"/>
      <c r="AY158" s="37"/>
      <c r="AZ158" s="37"/>
      <c r="BA158" s="36"/>
      <c r="BB158" s="37"/>
      <c r="BC158" s="37"/>
      <c r="BD158" s="37"/>
      <c r="BE158" s="37">
        <f t="shared" si="25"/>
        <v>1.1</v>
      </c>
      <c r="BF158" s="38">
        <f t="shared" si="26"/>
        <v>3</v>
      </c>
      <c r="BG158" s="35">
        <f t="shared" si="24"/>
        <v>3.3000000000000003</v>
      </c>
    </row>
    <row r="159" spans="1:59" ht="12.75">
      <c r="A159" s="29">
        <v>44098</v>
      </c>
      <c r="B159" s="30" t="s">
        <v>189</v>
      </c>
      <c r="C159" s="31">
        <v>3.4</v>
      </c>
      <c r="D159" s="32"/>
      <c r="E159" s="32"/>
      <c r="F159" s="33">
        <v>3.4</v>
      </c>
      <c r="G159" s="33">
        <v>0.52</v>
      </c>
      <c r="H159" s="33"/>
      <c r="I159" s="34">
        <f t="shared" si="22"/>
        <v>0.52</v>
      </c>
      <c r="J159" s="35">
        <f t="shared" si="23"/>
        <v>0</v>
      </c>
      <c r="AC159" s="36">
        <v>5</v>
      </c>
      <c r="AD159" s="37">
        <v>3.4</v>
      </c>
      <c r="AK159" s="37"/>
      <c r="AL159" s="37"/>
      <c r="AM159" s="37"/>
      <c r="AN159" s="37"/>
      <c r="AO159" s="36"/>
      <c r="AP159" s="37"/>
      <c r="AQ159" s="37"/>
      <c r="AR159" s="37"/>
      <c r="AS159" s="36"/>
      <c r="AT159" s="37"/>
      <c r="AU159" s="36"/>
      <c r="AV159" s="37"/>
      <c r="AW159" s="36"/>
      <c r="AX159" s="37"/>
      <c r="AY159" s="37"/>
      <c r="AZ159" s="37"/>
      <c r="BA159" s="36"/>
      <c r="BB159" s="37"/>
      <c r="BC159" s="37"/>
      <c r="BD159" s="37"/>
      <c r="BE159" s="37">
        <f t="shared" si="25"/>
        <v>3.4</v>
      </c>
      <c r="BF159" s="38">
        <f t="shared" si="26"/>
        <v>5</v>
      </c>
      <c r="BG159" s="35">
        <f t="shared" si="24"/>
        <v>17</v>
      </c>
    </row>
    <row r="160" spans="1:59" ht="24.75">
      <c r="A160" s="29">
        <v>44099</v>
      </c>
      <c r="B160" s="30" t="s">
        <v>190</v>
      </c>
      <c r="C160" s="31">
        <f>8.975+1.7+0.68+0.94</f>
        <v>12.295</v>
      </c>
      <c r="D160" s="32">
        <f>15.025-1.7-0.68-0.94</f>
        <v>11.705</v>
      </c>
      <c r="E160" s="32"/>
      <c r="F160" s="33">
        <v>24</v>
      </c>
      <c r="G160" s="33">
        <v>4.66</v>
      </c>
      <c r="H160" s="33">
        <v>2.85</v>
      </c>
      <c r="I160" s="34">
        <f t="shared" si="22"/>
        <v>7.51</v>
      </c>
      <c r="J160" s="35">
        <f t="shared" si="23"/>
        <v>0</v>
      </c>
      <c r="O160" s="36">
        <v>3.5</v>
      </c>
      <c r="P160" s="37">
        <v>2.665</v>
      </c>
      <c r="AC160" s="36">
        <v>5</v>
      </c>
      <c r="AD160" s="37">
        <v>1.69</v>
      </c>
      <c r="AI160" s="36">
        <v>5.5</v>
      </c>
      <c r="AJ160" s="37">
        <v>4.33</v>
      </c>
      <c r="AK160" s="37"/>
      <c r="AL160" s="37"/>
      <c r="AM160" s="37"/>
      <c r="AN160" s="37"/>
      <c r="AO160" s="36">
        <v>6</v>
      </c>
      <c r="AP160" s="37">
        <v>3.61</v>
      </c>
      <c r="AQ160" s="37"/>
      <c r="AR160" s="37"/>
      <c r="AW160" s="36"/>
      <c r="AX160" s="37"/>
      <c r="AY160" s="37"/>
      <c r="AZ160" s="37"/>
      <c r="BA160" s="36"/>
      <c r="BB160" s="37"/>
      <c r="BC160" s="37"/>
      <c r="BD160" s="37"/>
      <c r="BE160" s="37">
        <f t="shared" si="25"/>
        <v>12.295</v>
      </c>
      <c r="BF160" s="38">
        <f t="shared" si="26"/>
        <v>5.144570963806426</v>
      </c>
      <c r="BG160" s="35">
        <f t="shared" si="24"/>
        <v>63.252500000000005</v>
      </c>
    </row>
    <row r="161" spans="1:59" ht="12.75">
      <c r="A161" s="29">
        <v>44100</v>
      </c>
      <c r="B161" s="30" t="s">
        <v>191</v>
      </c>
      <c r="C161" s="110">
        <v>2.1</v>
      </c>
      <c r="D161" s="111"/>
      <c r="E161" s="111"/>
      <c r="F161" s="41">
        <v>2.1</v>
      </c>
      <c r="G161" s="33">
        <v>0.8</v>
      </c>
      <c r="H161" s="33"/>
      <c r="I161" s="34">
        <f t="shared" si="22"/>
        <v>0.8</v>
      </c>
      <c r="J161" s="35">
        <f t="shared" si="23"/>
        <v>0</v>
      </c>
      <c r="AC161" s="36">
        <v>5</v>
      </c>
      <c r="AD161" s="37">
        <v>2.1</v>
      </c>
      <c r="AK161" s="37"/>
      <c r="AL161" s="37"/>
      <c r="AM161" s="37"/>
      <c r="AN161" s="37"/>
      <c r="AO161" s="36"/>
      <c r="AP161" s="37"/>
      <c r="AQ161" s="37"/>
      <c r="AR161" s="37"/>
      <c r="AS161" s="36"/>
      <c r="AT161" s="37"/>
      <c r="AU161" s="36"/>
      <c r="AV161" s="37"/>
      <c r="AW161" s="36"/>
      <c r="AX161" s="37"/>
      <c r="AY161" s="37"/>
      <c r="AZ161" s="37"/>
      <c r="BA161" s="36"/>
      <c r="BB161" s="37"/>
      <c r="BC161" s="37"/>
      <c r="BD161" s="37"/>
      <c r="BE161" s="37">
        <f t="shared" si="25"/>
        <v>2.1</v>
      </c>
      <c r="BF161" s="38">
        <f t="shared" si="26"/>
        <v>5</v>
      </c>
      <c r="BG161" s="35">
        <f t="shared" si="24"/>
        <v>10.5</v>
      </c>
    </row>
    <row r="162" spans="1:59" ht="24.75">
      <c r="A162" s="29">
        <v>44101</v>
      </c>
      <c r="B162" s="30" t="s">
        <v>192</v>
      </c>
      <c r="C162" s="31">
        <v>5</v>
      </c>
      <c r="D162" s="32"/>
      <c r="E162" s="32"/>
      <c r="F162" s="33">
        <v>5</v>
      </c>
      <c r="G162" s="33">
        <v>1.26</v>
      </c>
      <c r="H162" s="33"/>
      <c r="I162" s="34">
        <f aca="true" t="shared" si="27" ref="I162:I193">G162+H162</f>
        <v>1.26</v>
      </c>
      <c r="J162" s="35">
        <f aca="true" t="shared" si="28" ref="J162:J195">C162-BE162</f>
        <v>0</v>
      </c>
      <c r="AC162" s="36">
        <v>5</v>
      </c>
      <c r="AD162" s="37">
        <v>1.295</v>
      </c>
      <c r="AI162" s="36">
        <v>5.5</v>
      </c>
      <c r="AJ162" s="37">
        <v>3.705</v>
      </c>
      <c r="AK162" s="37"/>
      <c r="AL162" s="37"/>
      <c r="AM162" s="37"/>
      <c r="AN162" s="37"/>
      <c r="AQ162" s="37"/>
      <c r="AR162" s="37"/>
      <c r="AS162" s="36"/>
      <c r="AT162" s="37"/>
      <c r="AU162" s="36"/>
      <c r="AV162" s="37"/>
      <c r="AW162" s="36"/>
      <c r="AX162" s="37"/>
      <c r="AY162" s="37"/>
      <c r="AZ162" s="37"/>
      <c r="BA162" s="36"/>
      <c r="BB162" s="37"/>
      <c r="BC162" s="37"/>
      <c r="BD162" s="37"/>
      <c r="BE162" s="37">
        <f t="shared" si="25"/>
        <v>5</v>
      </c>
      <c r="BF162" s="38">
        <f t="shared" si="26"/>
        <v>5.3705</v>
      </c>
      <c r="BG162" s="35">
        <f t="shared" si="24"/>
        <v>26.8525</v>
      </c>
    </row>
    <row r="163" spans="1:59" ht="24.75">
      <c r="A163" s="29">
        <v>44102</v>
      </c>
      <c r="B163" s="30" t="s">
        <v>193</v>
      </c>
      <c r="C163" s="31">
        <v>2.04</v>
      </c>
      <c r="D163" s="32">
        <v>3.86</v>
      </c>
      <c r="E163" s="32"/>
      <c r="F163" s="33">
        <v>5.9</v>
      </c>
      <c r="G163" s="33">
        <v>1.98</v>
      </c>
      <c r="H163" s="33"/>
      <c r="I163" s="34">
        <f t="shared" si="27"/>
        <v>1.98</v>
      </c>
      <c r="J163" s="35">
        <f t="shared" si="28"/>
        <v>0</v>
      </c>
      <c r="AC163" s="36">
        <v>5</v>
      </c>
      <c r="AD163" s="37">
        <v>1.54</v>
      </c>
      <c r="AI163" s="36">
        <v>5.5</v>
      </c>
      <c r="AJ163" s="37">
        <v>0.5</v>
      </c>
      <c r="AK163" s="37"/>
      <c r="AL163" s="37"/>
      <c r="AM163" s="37"/>
      <c r="AN163" s="37"/>
      <c r="AQ163" s="37"/>
      <c r="AR163" s="37"/>
      <c r="AS163" s="36"/>
      <c r="AT163" s="37"/>
      <c r="AU163" s="36"/>
      <c r="AV163" s="37"/>
      <c r="AW163" s="36"/>
      <c r="AX163" s="37"/>
      <c r="AY163" s="37"/>
      <c r="AZ163" s="37"/>
      <c r="BA163" s="36"/>
      <c r="BB163" s="37"/>
      <c r="BC163" s="37"/>
      <c r="BD163" s="37"/>
      <c r="BE163" s="37">
        <f t="shared" si="25"/>
        <v>2.04</v>
      </c>
      <c r="BF163" s="38">
        <f t="shared" si="26"/>
        <v>5.122549019607843</v>
      </c>
      <c r="BG163" s="35">
        <f aca="true" t="shared" si="29" ref="BG163:BG194">BF163*BE163</f>
        <v>10.45</v>
      </c>
    </row>
    <row r="164" spans="1:59" ht="12.75">
      <c r="A164" s="29">
        <v>44103</v>
      </c>
      <c r="B164" s="30" t="s">
        <v>194</v>
      </c>
      <c r="C164" s="31">
        <v>1.645</v>
      </c>
      <c r="D164" s="32">
        <v>4.055</v>
      </c>
      <c r="E164" s="32"/>
      <c r="F164" s="33">
        <v>5.699999999999999</v>
      </c>
      <c r="G164" s="33">
        <v>1.72</v>
      </c>
      <c r="H164" s="33"/>
      <c r="I164" s="34">
        <f t="shared" si="27"/>
        <v>1.72</v>
      </c>
      <c r="J164" s="35">
        <f t="shared" si="28"/>
        <v>0</v>
      </c>
      <c r="Y164" s="36">
        <v>4.5</v>
      </c>
      <c r="Z164" s="37">
        <v>0.32</v>
      </c>
      <c r="AC164" s="36">
        <v>5</v>
      </c>
      <c r="AD164" s="37">
        <v>1.325</v>
      </c>
      <c r="AK164" s="37"/>
      <c r="AL164" s="37"/>
      <c r="AM164" s="37"/>
      <c r="AN164" s="37"/>
      <c r="AQ164" s="37"/>
      <c r="AR164" s="37"/>
      <c r="AS164" s="36"/>
      <c r="AT164" s="37"/>
      <c r="AU164" s="36"/>
      <c r="AV164" s="37"/>
      <c r="AW164" s="36"/>
      <c r="AX164" s="37"/>
      <c r="AY164" s="37"/>
      <c r="AZ164" s="37"/>
      <c r="BA164" s="36"/>
      <c r="BB164" s="37"/>
      <c r="BC164" s="37"/>
      <c r="BD164" s="37"/>
      <c r="BE164" s="37">
        <f t="shared" si="25"/>
        <v>1.645</v>
      </c>
      <c r="BF164" s="38">
        <f t="shared" si="26"/>
        <v>4.90273556231003</v>
      </c>
      <c r="BG164" s="35">
        <f t="shared" si="29"/>
        <v>8.065</v>
      </c>
    </row>
    <row r="165" spans="1:59" ht="12.75">
      <c r="A165" s="29">
        <v>44104</v>
      </c>
      <c r="B165" s="30" t="s">
        <v>195</v>
      </c>
      <c r="C165" s="31">
        <v>0.37</v>
      </c>
      <c r="D165" s="32">
        <v>3.23</v>
      </c>
      <c r="E165" s="32"/>
      <c r="F165" s="33">
        <v>3.6</v>
      </c>
      <c r="G165" s="33">
        <v>0.4</v>
      </c>
      <c r="H165" s="33"/>
      <c r="I165" s="34">
        <f t="shared" si="27"/>
        <v>0.4</v>
      </c>
      <c r="J165" s="35">
        <f t="shared" si="28"/>
        <v>0</v>
      </c>
      <c r="Y165" s="36">
        <v>4.5</v>
      </c>
      <c r="Z165" s="37">
        <v>0.37</v>
      </c>
      <c r="AK165" s="37"/>
      <c r="AL165" s="37"/>
      <c r="AM165" s="37"/>
      <c r="AN165" s="37"/>
      <c r="AO165" s="36"/>
      <c r="AP165" s="37"/>
      <c r="AQ165" s="37"/>
      <c r="AR165" s="37"/>
      <c r="AS165" s="36"/>
      <c r="AT165" s="37"/>
      <c r="AU165" s="36"/>
      <c r="AV165" s="37"/>
      <c r="AW165" s="36"/>
      <c r="AX165" s="37"/>
      <c r="AY165" s="37"/>
      <c r="AZ165" s="37"/>
      <c r="BA165" s="36"/>
      <c r="BB165" s="37"/>
      <c r="BC165" s="37"/>
      <c r="BD165" s="37"/>
      <c r="BE165" s="37">
        <f t="shared" si="25"/>
        <v>0.37</v>
      </c>
      <c r="BF165" s="38">
        <f t="shared" si="26"/>
        <v>4.5</v>
      </c>
      <c r="BG165" s="35">
        <f t="shared" si="29"/>
        <v>1.665</v>
      </c>
    </row>
    <row r="166" spans="1:59" ht="12.75">
      <c r="A166" s="29">
        <v>44105</v>
      </c>
      <c r="B166" s="30" t="s">
        <v>196</v>
      </c>
      <c r="C166" s="31">
        <v>6.199999999999999</v>
      </c>
      <c r="D166" s="32"/>
      <c r="E166" s="32"/>
      <c r="F166" s="33">
        <v>6.199999999999999</v>
      </c>
      <c r="G166" s="33">
        <v>1.09</v>
      </c>
      <c r="H166" s="33"/>
      <c r="I166" s="34">
        <f t="shared" si="27"/>
        <v>1.09</v>
      </c>
      <c r="J166" s="35">
        <f t="shared" si="28"/>
        <v>0</v>
      </c>
      <c r="AC166" s="36">
        <v>5</v>
      </c>
      <c r="AD166" s="37">
        <v>5.55</v>
      </c>
      <c r="AI166" s="36">
        <v>5.5</v>
      </c>
      <c r="AJ166" s="37">
        <v>0.65</v>
      </c>
      <c r="AK166" s="37"/>
      <c r="AL166" s="37"/>
      <c r="AM166" s="37"/>
      <c r="AN166" s="37"/>
      <c r="AQ166" s="37"/>
      <c r="AR166" s="37"/>
      <c r="AS166" s="36"/>
      <c r="AT166" s="37"/>
      <c r="AU166" s="36"/>
      <c r="AV166" s="37"/>
      <c r="AW166" s="36"/>
      <c r="AX166" s="37"/>
      <c r="AY166" s="37"/>
      <c r="AZ166" s="37"/>
      <c r="BA166" s="36"/>
      <c r="BB166" s="37"/>
      <c r="BC166" s="37"/>
      <c r="BD166" s="37"/>
      <c r="BE166" s="37">
        <f t="shared" si="25"/>
        <v>6.2</v>
      </c>
      <c r="BF166" s="38">
        <f t="shared" si="26"/>
        <v>5.052419354838709</v>
      </c>
      <c r="BG166" s="35">
        <f t="shared" si="29"/>
        <v>31.324999999999996</v>
      </c>
    </row>
    <row r="167" spans="1:59" ht="12.75">
      <c r="A167" s="29">
        <v>44106</v>
      </c>
      <c r="B167" s="30" t="s">
        <v>197</v>
      </c>
      <c r="C167" s="31">
        <v>4.2</v>
      </c>
      <c r="D167" s="32"/>
      <c r="E167" s="32"/>
      <c r="F167" s="33">
        <v>4.2</v>
      </c>
      <c r="G167" s="33">
        <v>0.76</v>
      </c>
      <c r="H167" s="33"/>
      <c r="I167" s="34">
        <f t="shared" si="27"/>
        <v>0.76</v>
      </c>
      <c r="J167" s="35">
        <f t="shared" si="28"/>
        <v>0</v>
      </c>
      <c r="AI167" s="36">
        <v>5.5</v>
      </c>
      <c r="AJ167" s="37">
        <v>4.2</v>
      </c>
      <c r="AK167" s="37"/>
      <c r="AL167" s="37"/>
      <c r="AM167" s="37"/>
      <c r="AN167" s="37"/>
      <c r="AO167" s="36"/>
      <c r="AP167" s="37"/>
      <c r="AQ167" s="37"/>
      <c r="AR167" s="37"/>
      <c r="AS167" s="36"/>
      <c r="AT167" s="37"/>
      <c r="AU167" s="36"/>
      <c r="AV167" s="37"/>
      <c r="AW167" s="36"/>
      <c r="AX167" s="37"/>
      <c r="AY167" s="37"/>
      <c r="AZ167" s="37"/>
      <c r="BA167" s="36"/>
      <c r="BB167" s="37"/>
      <c r="BC167" s="37"/>
      <c r="BD167" s="37"/>
      <c r="BE167" s="37">
        <f t="shared" si="25"/>
        <v>4.2</v>
      </c>
      <c r="BF167" s="38">
        <f t="shared" si="26"/>
        <v>5.5</v>
      </c>
      <c r="BG167" s="35">
        <f t="shared" si="29"/>
        <v>23.1</v>
      </c>
    </row>
    <row r="168" spans="1:59" ht="12.75">
      <c r="A168" s="29">
        <v>44107</v>
      </c>
      <c r="B168" s="30" t="s">
        <v>198</v>
      </c>
      <c r="C168" s="110">
        <v>3.62</v>
      </c>
      <c r="D168" s="111">
        <v>2.48</v>
      </c>
      <c r="E168" s="111"/>
      <c r="F168" s="33">
        <v>6.1</v>
      </c>
      <c r="G168" s="33">
        <v>1.06</v>
      </c>
      <c r="H168" s="33"/>
      <c r="I168" s="34">
        <f t="shared" si="27"/>
        <v>1.06</v>
      </c>
      <c r="J168" s="35">
        <f t="shared" si="28"/>
        <v>0</v>
      </c>
      <c r="O168" s="36">
        <v>3.5</v>
      </c>
      <c r="P168" s="37">
        <v>0.30000000000000004</v>
      </c>
      <c r="Y168" s="36">
        <v>4.5</v>
      </c>
      <c r="Z168" s="37">
        <v>0.8</v>
      </c>
      <c r="AC168" s="36">
        <v>5</v>
      </c>
      <c r="AD168" s="37">
        <v>0.72</v>
      </c>
      <c r="AI168" s="36">
        <v>5.5</v>
      </c>
      <c r="AJ168" s="37">
        <v>1.8</v>
      </c>
      <c r="AK168" s="37"/>
      <c r="AL168" s="37"/>
      <c r="AM168" s="37"/>
      <c r="AN168" s="37"/>
      <c r="AQ168" s="37"/>
      <c r="AR168" s="37"/>
      <c r="AW168" s="36"/>
      <c r="AX168" s="37"/>
      <c r="AY168" s="37"/>
      <c r="AZ168" s="37"/>
      <c r="BA168" s="36"/>
      <c r="BB168" s="37"/>
      <c r="BC168" s="37"/>
      <c r="BD168" s="37"/>
      <c r="BE168" s="37">
        <f t="shared" si="25"/>
        <v>3.62</v>
      </c>
      <c r="BF168" s="38">
        <f t="shared" si="26"/>
        <v>5.013812154696132</v>
      </c>
      <c r="BG168" s="35">
        <f t="shared" si="29"/>
        <v>18.15</v>
      </c>
    </row>
    <row r="169" spans="1:59" ht="12.75">
      <c r="A169" s="29">
        <v>44108</v>
      </c>
      <c r="B169" s="30" t="s">
        <v>199</v>
      </c>
      <c r="C169" s="31">
        <v>2.26</v>
      </c>
      <c r="D169" s="32">
        <v>5.84</v>
      </c>
      <c r="E169" s="32"/>
      <c r="F169" s="33">
        <v>8.1</v>
      </c>
      <c r="G169" s="33">
        <v>2.23</v>
      </c>
      <c r="H169" s="33"/>
      <c r="I169" s="34">
        <f t="shared" si="27"/>
        <v>2.23</v>
      </c>
      <c r="J169" s="35">
        <f t="shared" si="28"/>
        <v>0</v>
      </c>
      <c r="Q169" s="36">
        <v>4</v>
      </c>
      <c r="R169" s="37">
        <v>1.06</v>
      </c>
      <c r="AC169" s="36">
        <v>5</v>
      </c>
      <c r="AD169" s="37">
        <v>1.2</v>
      </c>
      <c r="AK169" s="37"/>
      <c r="AL169" s="37"/>
      <c r="AM169" s="37"/>
      <c r="AN169" s="37"/>
      <c r="AQ169" s="37"/>
      <c r="AR169" s="37"/>
      <c r="AS169" s="36"/>
      <c r="AT169" s="37"/>
      <c r="AU169" s="36"/>
      <c r="AV169" s="37"/>
      <c r="AW169" s="36"/>
      <c r="AX169" s="37"/>
      <c r="AY169" s="37"/>
      <c r="AZ169" s="37"/>
      <c r="BA169" s="36"/>
      <c r="BB169" s="37"/>
      <c r="BC169" s="37"/>
      <c r="BD169" s="37"/>
      <c r="BE169" s="37">
        <f t="shared" si="25"/>
        <v>2.26</v>
      </c>
      <c r="BF169" s="38">
        <f t="shared" si="26"/>
        <v>4.5309734513274345</v>
      </c>
      <c r="BG169" s="35">
        <f t="shared" si="29"/>
        <v>10.24</v>
      </c>
    </row>
    <row r="170" spans="1:59" ht="12.75">
      <c r="A170" s="29">
        <v>44109</v>
      </c>
      <c r="B170" s="30" t="s">
        <v>200</v>
      </c>
      <c r="C170" s="31">
        <v>5.9</v>
      </c>
      <c r="D170" s="32"/>
      <c r="E170" s="32"/>
      <c r="F170" s="33">
        <v>5.9</v>
      </c>
      <c r="G170" s="33">
        <v>2.48</v>
      </c>
      <c r="H170" s="33"/>
      <c r="I170" s="34">
        <f t="shared" si="27"/>
        <v>2.48</v>
      </c>
      <c r="J170" s="35">
        <f t="shared" si="28"/>
        <v>0</v>
      </c>
      <c r="AE170" s="36">
        <v>5.2</v>
      </c>
      <c r="AF170" s="37">
        <v>1.5</v>
      </c>
      <c r="AI170" s="36">
        <v>5.5</v>
      </c>
      <c r="AJ170" s="37">
        <v>4.4</v>
      </c>
      <c r="AK170" s="37"/>
      <c r="AL170" s="37"/>
      <c r="AM170" s="37"/>
      <c r="AN170" s="37"/>
      <c r="AQ170" s="37"/>
      <c r="AR170" s="37"/>
      <c r="AS170" s="36"/>
      <c r="AT170" s="37"/>
      <c r="AU170" s="36"/>
      <c r="AV170" s="37"/>
      <c r="AW170" s="36"/>
      <c r="AX170" s="37"/>
      <c r="AY170" s="37"/>
      <c r="AZ170" s="37"/>
      <c r="BA170" s="36"/>
      <c r="BB170" s="37"/>
      <c r="BC170" s="37"/>
      <c r="BD170" s="37"/>
      <c r="BE170" s="37">
        <f t="shared" si="25"/>
        <v>5.9</v>
      </c>
      <c r="BF170" s="38">
        <f t="shared" si="26"/>
        <v>5.423728813559322</v>
      </c>
      <c r="BG170" s="35">
        <f t="shared" si="29"/>
        <v>32</v>
      </c>
    </row>
    <row r="171" spans="1:59" ht="12.75">
      <c r="A171" s="29">
        <v>44110</v>
      </c>
      <c r="B171" s="30" t="s">
        <v>201</v>
      </c>
      <c r="C171" s="31">
        <v>5</v>
      </c>
      <c r="D171" s="32"/>
      <c r="E171" s="32"/>
      <c r="F171" s="33">
        <v>5</v>
      </c>
      <c r="G171" s="33">
        <v>0.85</v>
      </c>
      <c r="H171" s="33"/>
      <c r="I171" s="34">
        <f t="shared" si="27"/>
        <v>0.85</v>
      </c>
      <c r="J171" s="35">
        <f t="shared" si="28"/>
        <v>0</v>
      </c>
      <c r="AI171" s="36">
        <v>5.5</v>
      </c>
      <c r="AJ171" s="37">
        <v>5</v>
      </c>
      <c r="AK171" s="37"/>
      <c r="AL171" s="37"/>
      <c r="AM171" s="37"/>
      <c r="AN171" s="37"/>
      <c r="AO171" s="36"/>
      <c r="AP171" s="37"/>
      <c r="AQ171" s="37"/>
      <c r="AR171" s="37"/>
      <c r="AS171" s="36"/>
      <c r="AT171" s="37"/>
      <c r="AU171" s="36"/>
      <c r="AV171" s="37"/>
      <c r="AW171" s="36"/>
      <c r="AX171" s="37"/>
      <c r="AY171" s="37"/>
      <c r="AZ171" s="37"/>
      <c r="BA171" s="36"/>
      <c r="BB171" s="37"/>
      <c r="BC171" s="37"/>
      <c r="BD171" s="37"/>
      <c r="BE171" s="37">
        <f t="shared" si="25"/>
        <v>5</v>
      </c>
      <c r="BF171" s="38">
        <f t="shared" si="26"/>
        <v>5.5</v>
      </c>
      <c r="BG171" s="35">
        <f t="shared" si="29"/>
        <v>27.5</v>
      </c>
    </row>
    <row r="172" spans="1:61" ht="24.75">
      <c r="A172" s="29">
        <v>44111</v>
      </c>
      <c r="B172" s="30" t="s">
        <v>202</v>
      </c>
      <c r="C172" s="31">
        <v>4.5</v>
      </c>
      <c r="D172" s="72">
        <v>5.6</v>
      </c>
      <c r="E172" s="72"/>
      <c r="F172" s="33">
        <v>10.1</v>
      </c>
      <c r="G172" s="33">
        <v>1.6800000000000002</v>
      </c>
      <c r="H172" s="33"/>
      <c r="I172" s="34">
        <f t="shared" si="27"/>
        <v>1.6800000000000002</v>
      </c>
      <c r="J172" s="35">
        <f t="shared" si="28"/>
        <v>0</v>
      </c>
      <c r="K172" s="36">
        <v>2.5</v>
      </c>
      <c r="L172" s="37">
        <v>3.85</v>
      </c>
      <c r="AC172" s="36">
        <v>5</v>
      </c>
      <c r="AD172" s="37">
        <v>0.65</v>
      </c>
      <c r="AK172" s="37"/>
      <c r="AL172" s="37"/>
      <c r="AM172" s="37"/>
      <c r="AN172" s="37"/>
      <c r="AQ172" s="37"/>
      <c r="AR172" s="37"/>
      <c r="AS172" s="36"/>
      <c r="AT172" s="37"/>
      <c r="AU172" s="36"/>
      <c r="AV172" s="37"/>
      <c r="AW172" s="36"/>
      <c r="AX172" s="37"/>
      <c r="AY172" s="37"/>
      <c r="AZ172" s="37"/>
      <c r="BA172" s="36"/>
      <c r="BB172" s="37"/>
      <c r="BC172" s="37"/>
      <c r="BD172" s="37"/>
      <c r="BE172" s="37">
        <f t="shared" si="25"/>
        <v>4.5</v>
      </c>
      <c r="BF172" s="38">
        <f t="shared" si="26"/>
        <v>2.861111111111111</v>
      </c>
      <c r="BG172" s="35">
        <f t="shared" si="29"/>
        <v>12.875</v>
      </c>
      <c r="BI172" s="75" t="s">
        <v>203</v>
      </c>
    </row>
    <row r="173" spans="1:59" ht="12.75">
      <c r="A173" s="29">
        <v>44112</v>
      </c>
      <c r="B173" s="30" t="s">
        <v>204</v>
      </c>
      <c r="C173" s="31">
        <v>0</v>
      </c>
      <c r="D173" s="72">
        <v>3.8</v>
      </c>
      <c r="E173" s="72"/>
      <c r="F173" s="33">
        <v>3.8</v>
      </c>
      <c r="G173" s="33"/>
      <c r="H173" s="33">
        <v>0.12</v>
      </c>
      <c r="I173" s="34">
        <f t="shared" si="27"/>
        <v>0.12</v>
      </c>
      <c r="J173" s="35">
        <f t="shared" si="28"/>
        <v>0</v>
      </c>
      <c r="AI173" s="36"/>
      <c r="AJ173" s="37"/>
      <c r="AK173" s="37"/>
      <c r="AL173" s="37"/>
      <c r="AM173" s="37"/>
      <c r="AN173" s="37"/>
      <c r="AO173" s="36"/>
      <c r="AP173" s="37"/>
      <c r="AQ173" s="37"/>
      <c r="AR173" s="37"/>
      <c r="AS173" s="36"/>
      <c r="AT173" s="37"/>
      <c r="AU173" s="36"/>
      <c r="AV173" s="37"/>
      <c r="AW173" s="36"/>
      <c r="AX173" s="37"/>
      <c r="AY173" s="37"/>
      <c r="AZ173" s="37"/>
      <c r="BA173" s="36"/>
      <c r="BB173" s="37"/>
      <c r="BC173" s="37"/>
      <c r="BD173" s="37"/>
      <c r="BE173" s="37">
        <f t="shared" si="25"/>
        <v>0</v>
      </c>
      <c r="BF173" s="38"/>
      <c r="BG173" s="35">
        <f t="shared" si="29"/>
        <v>0</v>
      </c>
    </row>
    <row r="174" spans="1:59" ht="12.75">
      <c r="A174" s="29">
        <v>44114</v>
      </c>
      <c r="B174" s="30" t="s">
        <v>205</v>
      </c>
      <c r="C174" s="31">
        <v>0.91</v>
      </c>
      <c r="D174" s="32"/>
      <c r="E174" s="32"/>
      <c r="F174" s="33">
        <v>0.91</v>
      </c>
      <c r="G174" s="33"/>
      <c r="H174" s="33"/>
      <c r="I174" s="34">
        <f t="shared" si="27"/>
        <v>0</v>
      </c>
      <c r="J174" s="35">
        <f t="shared" si="28"/>
        <v>0</v>
      </c>
      <c r="AI174" s="36">
        <v>5.5</v>
      </c>
      <c r="AJ174" s="37">
        <v>0.91</v>
      </c>
      <c r="AK174" s="37"/>
      <c r="AL174" s="37"/>
      <c r="AM174" s="37"/>
      <c r="AN174" s="37"/>
      <c r="AO174" s="36"/>
      <c r="AP174" s="37"/>
      <c r="AQ174" s="37"/>
      <c r="AR174" s="37"/>
      <c r="AS174" s="36"/>
      <c r="AT174" s="37"/>
      <c r="AU174" s="36"/>
      <c r="AV174" s="37"/>
      <c r="AW174" s="36"/>
      <c r="AX174" s="37"/>
      <c r="AY174" s="37"/>
      <c r="AZ174" s="37"/>
      <c r="BA174" s="36"/>
      <c r="BB174" s="37"/>
      <c r="BC174" s="37"/>
      <c r="BD174" s="37"/>
      <c r="BE174" s="37">
        <f t="shared" si="25"/>
        <v>0.91</v>
      </c>
      <c r="BF174" s="38">
        <f>(K174*L174+M174*N174+O174*P174+Q174*R174+S174*T174+U174*V174+W174*X174+Y174*Z174+AA174*AB174+AC174*AD174+AE174*AF174+AG174*AH174+AI174*AJ174+AK174*AL174+AM174*AN174+AO174*AP174+AQ174*AR174+AS174*AT174+AU174*AV174+AW174*AX174+AY174*AZ174+BA174*BB174+BC174*BD174)/BE174</f>
        <v>5.5</v>
      </c>
      <c r="BG174" s="35">
        <f t="shared" si="29"/>
        <v>5.005</v>
      </c>
    </row>
    <row r="175" spans="1:59" ht="12.75">
      <c r="A175" s="29">
        <v>44115</v>
      </c>
      <c r="B175" s="30" t="s">
        <v>206</v>
      </c>
      <c r="C175" s="31">
        <v>4.2</v>
      </c>
      <c r="D175" s="32">
        <v>4.9</v>
      </c>
      <c r="E175" s="32"/>
      <c r="F175" s="33">
        <v>9.100000000000001</v>
      </c>
      <c r="G175" s="33"/>
      <c r="H175" s="33"/>
      <c r="I175" s="34">
        <f t="shared" si="27"/>
        <v>0</v>
      </c>
      <c r="J175" s="35">
        <f t="shared" si="28"/>
        <v>0</v>
      </c>
      <c r="O175" s="36">
        <v>3.5</v>
      </c>
      <c r="P175" s="37">
        <v>0.29</v>
      </c>
      <c r="Y175" s="36">
        <v>4.5</v>
      </c>
      <c r="Z175" s="37">
        <v>0.5</v>
      </c>
      <c r="AC175" s="36">
        <v>5</v>
      </c>
      <c r="AD175" s="37">
        <v>3.41</v>
      </c>
      <c r="AK175" s="37"/>
      <c r="AL175" s="37"/>
      <c r="AM175" s="37"/>
      <c r="AN175" s="37"/>
      <c r="AQ175" s="37"/>
      <c r="AR175" s="37"/>
      <c r="AU175" s="36"/>
      <c r="AV175" s="37"/>
      <c r="AW175" s="36"/>
      <c r="AX175" s="37"/>
      <c r="AY175" s="37"/>
      <c r="AZ175" s="37"/>
      <c r="BA175" s="36"/>
      <c r="BB175" s="37"/>
      <c r="BC175" s="37"/>
      <c r="BD175" s="37"/>
      <c r="BE175" s="37">
        <f t="shared" si="25"/>
        <v>4.2</v>
      </c>
      <c r="BF175" s="38">
        <f>(K175*L175+M175*N175+O175*P175+Q175*R175+S175*T175+U175*V175+W175*X175+Y175*Z175+AA175*AB175+AC175*AD175+AE175*AF175+AG175*AH175+AI175*AJ175+AK175*AL175+AM175*AN175+AO175*AP175+AQ175*AR175+AS175*AT175+AU175*AV175+AW175*AX175+AY175*AZ175+BA175*BB175+BC175*BD175)/BE175</f>
        <v>4.836904761904762</v>
      </c>
      <c r="BG175" s="35">
        <f t="shared" si="29"/>
        <v>20.315</v>
      </c>
    </row>
    <row r="176" spans="1:59" ht="22.5">
      <c r="A176" s="29">
        <v>44116</v>
      </c>
      <c r="B176" s="30" t="s">
        <v>207</v>
      </c>
      <c r="C176" s="31">
        <v>6.9</v>
      </c>
      <c r="D176" s="32"/>
      <c r="E176" s="32"/>
      <c r="F176" s="33">
        <v>6.9</v>
      </c>
      <c r="G176" s="33"/>
      <c r="H176" s="33"/>
      <c r="I176" s="34">
        <f t="shared" si="27"/>
        <v>0</v>
      </c>
      <c r="J176" s="35">
        <f t="shared" si="28"/>
        <v>0</v>
      </c>
      <c r="K176" s="36">
        <v>2.5</v>
      </c>
      <c r="L176" s="37">
        <v>1.57</v>
      </c>
      <c r="AC176" s="36">
        <v>5</v>
      </c>
      <c r="AD176" s="37">
        <v>5.33</v>
      </c>
      <c r="AK176" s="37"/>
      <c r="AL176" s="37"/>
      <c r="AM176" s="37"/>
      <c r="AN176" s="37"/>
      <c r="AQ176" s="37"/>
      <c r="AR176" s="37"/>
      <c r="AS176" s="36"/>
      <c r="AT176" s="37"/>
      <c r="AU176" s="36"/>
      <c r="AV176" s="37"/>
      <c r="AW176" s="36"/>
      <c r="AX176" s="37"/>
      <c r="AY176" s="37"/>
      <c r="AZ176" s="37"/>
      <c r="BA176" s="36"/>
      <c r="BB176" s="37"/>
      <c r="BC176" s="37"/>
      <c r="BD176" s="37"/>
      <c r="BE176" s="37">
        <f t="shared" si="25"/>
        <v>6.9</v>
      </c>
      <c r="BF176" s="38">
        <f>(K176*L176+M176*N176+O176*P176+Q176*R176+S176*T176+U176*V176+W176*X176+Y176*Z176+AA176*AB176+AC176*AD176+AE176*AF176+AG176*AH176+AI176*AJ176+AK176*AL176+AM176*AN176+AO176*AP176+AQ176*AR176+AS176*AT176+AU176*AV176+AW176*AX176+AY176*AZ176+BA176*BB176+BC176*BD176)/BE176</f>
        <v>4.4311594202898545</v>
      </c>
      <c r="BG176" s="35">
        <f t="shared" si="29"/>
        <v>30.575</v>
      </c>
    </row>
    <row r="177" spans="1:59" ht="12.75">
      <c r="A177" s="29">
        <v>44117</v>
      </c>
      <c r="B177" s="30" t="s">
        <v>208</v>
      </c>
      <c r="C177" s="31"/>
      <c r="D177" s="111">
        <v>1.7</v>
      </c>
      <c r="E177" s="111"/>
      <c r="F177" s="41">
        <v>1.7</v>
      </c>
      <c r="G177" s="33"/>
      <c r="H177" s="33">
        <v>1</v>
      </c>
      <c r="I177" s="34">
        <f t="shared" si="27"/>
        <v>1</v>
      </c>
      <c r="J177" s="35">
        <f t="shared" si="28"/>
        <v>0</v>
      </c>
      <c r="AI177" s="36"/>
      <c r="AJ177" s="37"/>
      <c r="AK177" s="37"/>
      <c r="AL177" s="37"/>
      <c r="AM177" s="37"/>
      <c r="AN177" s="37"/>
      <c r="AO177" s="36"/>
      <c r="AP177" s="37"/>
      <c r="AQ177" s="37"/>
      <c r="AR177" s="37"/>
      <c r="AS177" s="36"/>
      <c r="AT177" s="37"/>
      <c r="AU177" s="36"/>
      <c r="AV177" s="37"/>
      <c r="AW177" s="36"/>
      <c r="AX177" s="37"/>
      <c r="AY177" s="37"/>
      <c r="AZ177" s="37"/>
      <c r="BA177" s="36"/>
      <c r="BB177" s="37"/>
      <c r="BC177" s="37"/>
      <c r="BD177" s="37"/>
      <c r="BE177" s="37">
        <f>AJ177+AP177+AT177+AV177+AX177+BB177</f>
        <v>0</v>
      </c>
      <c r="BF177" s="38"/>
      <c r="BG177" s="35">
        <f t="shared" si="29"/>
        <v>0</v>
      </c>
    </row>
    <row r="178" spans="1:59" ht="12.75">
      <c r="A178" s="29">
        <v>44118</v>
      </c>
      <c r="B178" s="30" t="s">
        <v>209</v>
      </c>
      <c r="C178" s="31"/>
      <c r="D178" s="111">
        <v>3</v>
      </c>
      <c r="E178" s="111"/>
      <c r="F178" s="41">
        <v>3</v>
      </c>
      <c r="G178" s="33"/>
      <c r="H178" s="33">
        <v>0.38</v>
      </c>
      <c r="I178" s="34">
        <f t="shared" si="27"/>
        <v>0.38</v>
      </c>
      <c r="J178" s="35">
        <f t="shared" si="28"/>
        <v>0</v>
      </c>
      <c r="AI178" s="36"/>
      <c r="AJ178" s="37"/>
      <c r="AK178" s="37"/>
      <c r="AL178" s="37"/>
      <c r="AM178" s="37"/>
      <c r="AN178" s="37"/>
      <c r="AO178" s="36"/>
      <c r="AP178" s="37"/>
      <c r="AQ178" s="37"/>
      <c r="AR178" s="37"/>
      <c r="AS178" s="36"/>
      <c r="AT178" s="37"/>
      <c r="AU178" s="36"/>
      <c r="AV178" s="37"/>
      <c r="AW178" s="36"/>
      <c r="AX178" s="37"/>
      <c r="AY178" s="37"/>
      <c r="AZ178" s="37"/>
      <c r="BA178" s="36"/>
      <c r="BB178" s="37"/>
      <c r="BC178" s="37"/>
      <c r="BD178" s="37"/>
      <c r="BE178" s="37">
        <f>AJ178+AP178+AT178+AV178+AX178+BB178</f>
        <v>0</v>
      </c>
      <c r="BF178" s="38"/>
      <c r="BG178" s="35">
        <f t="shared" si="29"/>
        <v>0</v>
      </c>
    </row>
    <row r="179" spans="1:59" ht="12.75">
      <c r="A179" s="29">
        <v>44119</v>
      </c>
      <c r="B179" s="30" t="s">
        <v>210</v>
      </c>
      <c r="C179" s="110">
        <v>2.8</v>
      </c>
      <c r="D179" s="111"/>
      <c r="E179" s="111"/>
      <c r="F179" s="41">
        <v>2.8</v>
      </c>
      <c r="G179" s="33">
        <v>1.26</v>
      </c>
      <c r="H179" s="33"/>
      <c r="I179" s="34">
        <f t="shared" si="27"/>
        <v>1.26</v>
      </c>
      <c r="J179" s="35">
        <f t="shared" si="28"/>
        <v>0</v>
      </c>
      <c r="AC179" s="36">
        <v>5</v>
      </c>
      <c r="AD179" s="37">
        <v>2.8</v>
      </c>
      <c r="AK179" s="37"/>
      <c r="AL179" s="37"/>
      <c r="AM179" s="37"/>
      <c r="AN179" s="37"/>
      <c r="AO179" s="36"/>
      <c r="AP179" s="37"/>
      <c r="AQ179" s="37"/>
      <c r="AR179" s="37"/>
      <c r="AS179" s="36"/>
      <c r="AT179" s="37"/>
      <c r="AU179" s="36"/>
      <c r="AV179" s="37"/>
      <c r="AW179" s="36"/>
      <c r="AX179" s="37"/>
      <c r="AY179" s="37"/>
      <c r="AZ179" s="37"/>
      <c r="BA179" s="36"/>
      <c r="BB179" s="37"/>
      <c r="BC179" s="37"/>
      <c r="BD179" s="37"/>
      <c r="BE179" s="37">
        <f aca="true" t="shared" si="30" ref="BE179:BE186">L179+N179+P179+R179+T179+V179+X179+Z179+AB179+AD179+AF179+AH179+AJ179+AL179+AN179+AP179+AR179+AT179+AV179+AX179+AZ179+BB179+BD179</f>
        <v>2.8</v>
      </c>
      <c r="BF179" s="38">
        <f aca="true" t="shared" si="31" ref="BF179:BF186">(K179*L179+M179*N179+O179*P179+Q179*R179+S179*T179+U179*V179+W179*X179+Y179*Z179+AA179*AB179+AC179*AD179+AE179*AF179+AG179*AH179+AI179*AJ179+AK179*AL179+AM179*AN179+AO179*AP179+AQ179*AR179+AS179*AT179+AU179*AV179+AW179*AX179+AY179*AZ179+BA179*BB179+BC179*BD179)/BE179</f>
        <v>5</v>
      </c>
      <c r="BG179" s="35">
        <f t="shared" si="29"/>
        <v>14</v>
      </c>
    </row>
    <row r="180" spans="1:59" ht="12.75">
      <c r="A180" s="29">
        <v>44120</v>
      </c>
      <c r="B180" s="30" t="s">
        <v>211</v>
      </c>
      <c r="C180" s="110">
        <v>2.4</v>
      </c>
      <c r="D180" s="111"/>
      <c r="E180" s="111"/>
      <c r="F180" s="41">
        <v>2.4</v>
      </c>
      <c r="G180" s="33">
        <v>1.27</v>
      </c>
      <c r="H180" s="33"/>
      <c r="I180" s="34">
        <f t="shared" si="27"/>
        <v>1.27</v>
      </c>
      <c r="J180" s="35">
        <f t="shared" si="28"/>
        <v>0</v>
      </c>
      <c r="AI180" s="36">
        <v>5.5</v>
      </c>
      <c r="AJ180" s="37">
        <v>2.4</v>
      </c>
      <c r="AK180" s="37"/>
      <c r="AL180" s="37"/>
      <c r="AM180" s="37"/>
      <c r="AN180" s="37"/>
      <c r="AO180" s="36"/>
      <c r="AP180" s="37"/>
      <c r="AQ180" s="37"/>
      <c r="AR180" s="37"/>
      <c r="AS180" s="36"/>
      <c r="AT180" s="37"/>
      <c r="AU180" s="36"/>
      <c r="AV180" s="37"/>
      <c r="AW180" s="36"/>
      <c r="AX180" s="37"/>
      <c r="AY180" s="37"/>
      <c r="AZ180" s="37"/>
      <c r="BA180" s="36"/>
      <c r="BB180" s="37"/>
      <c r="BC180" s="37"/>
      <c r="BD180" s="37"/>
      <c r="BE180" s="37">
        <f t="shared" si="30"/>
        <v>2.4</v>
      </c>
      <c r="BF180" s="38">
        <f t="shared" si="31"/>
        <v>5.5</v>
      </c>
      <c r="BG180" s="35">
        <f t="shared" si="29"/>
        <v>13.2</v>
      </c>
    </row>
    <row r="181" spans="1:59" ht="12.75">
      <c r="A181" s="29">
        <v>44121</v>
      </c>
      <c r="B181" s="30" t="s">
        <v>212</v>
      </c>
      <c r="C181" s="110">
        <v>6.5</v>
      </c>
      <c r="D181" s="111"/>
      <c r="E181" s="111"/>
      <c r="F181" s="41">
        <v>6.5</v>
      </c>
      <c r="G181" s="33">
        <v>4.3</v>
      </c>
      <c r="H181" s="33"/>
      <c r="I181" s="34">
        <f t="shared" si="27"/>
        <v>4.3</v>
      </c>
      <c r="J181" s="35">
        <f t="shared" si="28"/>
        <v>0</v>
      </c>
      <c r="AI181" s="36">
        <v>5.5</v>
      </c>
      <c r="AJ181" s="37">
        <v>6.5</v>
      </c>
      <c r="AK181" s="37"/>
      <c r="AL181" s="37"/>
      <c r="AM181" s="37"/>
      <c r="AN181" s="37"/>
      <c r="AO181" s="36"/>
      <c r="AP181" s="37"/>
      <c r="AQ181" s="37"/>
      <c r="AR181" s="37"/>
      <c r="AS181" s="36"/>
      <c r="AT181" s="37"/>
      <c r="AU181" s="36"/>
      <c r="AV181" s="37"/>
      <c r="AW181" s="36"/>
      <c r="AX181" s="37"/>
      <c r="AY181" s="37"/>
      <c r="AZ181" s="37"/>
      <c r="BA181" s="36"/>
      <c r="BB181" s="37"/>
      <c r="BC181" s="37"/>
      <c r="BD181" s="37"/>
      <c r="BE181" s="37">
        <f t="shared" si="30"/>
        <v>6.5</v>
      </c>
      <c r="BF181" s="38">
        <f t="shared" si="31"/>
        <v>5.5</v>
      </c>
      <c r="BG181" s="35">
        <f t="shared" si="29"/>
        <v>35.75</v>
      </c>
    </row>
    <row r="182" spans="1:59" ht="12.75">
      <c r="A182" s="29">
        <v>44122</v>
      </c>
      <c r="B182" s="30" t="s">
        <v>213</v>
      </c>
      <c r="C182" s="31">
        <f>0.78+0.04</f>
        <v>0.8200000000000001</v>
      </c>
      <c r="D182" s="32">
        <f>0.92-0.04</f>
        <v>0.88</v>
      </c>
      <c r="E182" s="32"/>
      <c r="F182" s="33">
        <v>1.7000000000000002</v>
      </c>
      <c r="G182" s="33">
        <v>0.7</v>
      </c>
      <c r="H182" s="33"/>
      <c r="I182" s="34">
        <f t="shared" si="27"/>
        <v>0.7</v>
      </c>
      <c r="J182" s="35">
        <f t="shared" si="28"/>
        <v>0</v>
      </c>
      <c r="AC182" s="36">
        <v>5</v>
      </c>
      <c r="AD182" s="37">
        <v>0.82</v>
      </c>
      <c r="AK182" s="37"/>
      <c r="AL182" s="37"/>
      <c r="AM182" s="37"/>
      <c r="AN182" s="37"/>
      <c r="AO182" s="36"/>
      <c r="AP182" s="37"/>
      <c r="AQ182" s="37"/>
      <c r="AR182" s="37"/>
      <c r="AS182" s="36"/>
      <c r="AT182" s="37"/>
      <c r="AU182" s="36"/>
      <c r="AV182" s="37"/>
      <c r="AW182" s="36"/>
      <c r="AX182" s="37"/>
      <c r="AY182" s="37"/>
      <c r="AZ182" s="37"/>
      <c r="BA182" s="36"/>
      <c r="BB182" s="37"/>
      <c r="BC182" s="37"/>
      <c r="BD182" s="37"/>
      <c r="BE182" s="37">
        <f t="shared" si="30"/>
        <v>0.82</v>
      </c>
      <c r="BF182" s="38">
        <f t="shared" si="31"/>
        <v>5</v>
      </c>
      <c r="BG182" s="35">
        <f t="shared" si="29"/>
        <v>4.1</v>
      </c>
    </row>
    <row r="183" spans="1:59" ht="12.75">
      <c r="A183" s="29">
        <v>44123</v>
      </c>
      <c r="B183" s="30" t="s">
        <v>214</v>
      </c>
      <c r="C183" s="31">
        <v>2.6</v>
      </c>
      <c r="D183" s="32">
        <v>3.4</v>
      </c>
      <c r="E183" s="32"/>
      <c r="F183" s="33">
        <v>6</v>
      </c>
      <c r="G183" s="33">
        <v>2.66</v>
      </c>
      <c r="H183" s="33"/>
      <c r="I183" s="34">
        <f t="shared" si="27"/>
        <v>2.66</v>
      </c>
      <c r="J183" s="35">
        <f t="shared" si="28"/>
        <v>0</v>
      </c>
      <c r="AI183" s="36">
        <v>5.5</v>
      </c>
      <c r="AJ183" s="37">
        <v>2.6</v>
      </c>
      <c r="AK183" s="37"/>
      <c r="AL183" s="37"/>
      <c r="AM183" s="37"/>
      <c r="AN183" s="37"/>
      <c r="AO183" s="36"/>
      <c r="AP183" s="37"/>
      <c r="AQ183" s="37"/>
      <c r="AR183" s="37"/>
      <c r="AS183" s="36"/>
      <c r="AT183" s="37"/>
      <c r="AU183" s="36"/>
      <c r="AV183" s="37"/>
      <c r="AW183" s="36"/>
      <c r="AX183" s="37"/>
      <c r="AY183" s="37"/>
      <c r="AZ183" s="37"/>
      <c r="BA183" s="36"/>
      <c r="BB183" s="37"/>
      <c r="BC183" s="37"/>
      <c r="BD183" s="37"/>
      <c r="BE183" s="37">
        <f t="shared" si="30"/>
        <v>2.6</v>
      </c>
      <c r="BF183" s="38">
        <f t="shared" si="31"/>
        <v>5.5</v>
      </c>
      <c r="BG183" s="35">
        <f t="shared" si="29"/>
        <v>14.3</v>
      </c>
    </row>
    <row r="184" spans="1:59" ht="22.5">
      <c r="A184" s="29">
        <v>44124</v>
      </c>
      <c r="B184" s="30" t="s">
        <v>215</v>
      </c>
      <c r="C184" s="31">
        <v>1.9</v>
      </c>
      <c r="D184" s="32">
        <f>3.96-1.96</f>
        <v>2</v>
      </c>
      <c r="E184" s="32"/>
      <c r="F184" s="33">
        <v>3.9</v>
      </c>
      <c r="G184" s="33">
        <v>1.1400000000000001</v>
      </c>
      <c r="H184" s="33"/>
      <c r="I184" s="34">
        <f t="shared" si="27"/>
        <v>1.1400000000000001</v>
      </c>
      <c r="J184" s="35">
        <f t="shared" si="28"/>
        <v>0</v>
      </c>
      <c r="AC184" s="36">
        <v>5</v>
      </c>
      <c r="AD184" s="37">
        <v>1.9</v>
      </c>
      <c r="AK184" s="37"/>
      <c r="AL184" s="37"/>
      <c r="AM184" s="37"/>
      <c r="AN184" s="37"/>
      <c r="AO184" s="36"/>
      <c r="AP184" s="37"/>
      <c r="AQ184" s="37"/>
      <c r="AR184" s="37"/>
      <c r="AS184" s="36"/>
      <c r="AT184" s="37"/>
      <c r="AU184" s="36"/>
      <c r="AV184" s="37"/>
      <c r="AW184" s="36"/>
      <c r="AX184" s="37"/>
      <c r="AY184" s="37"/>
      <c r="AZ184" s="37"/>
      <c r="BA184" s="36"/>
      <c r="BB184" s="37"/>
      <c r="BC184" s="37"/>
      <c r="BD184" s="37"/>
      <c r="BE184" s="37">
        <f t="shared" si="30"/>
        <v>1.9</v>
      </c>
      <c r="BF184" s="38">
        <f t="shared" si="31"/>
        <v>5</v>
      </c>
      <c r="BG184" s="35">
        <f t="shared" si="29"/>
        <v>9.5</v>
      </c>
    </row>
    <row r="185" spans="1:59" ht="12.75">
      <c r="A185" s="29">
        <v>44125</v>
      </c>
      <c r="B185" s="30" t="s">
        <v>216</v>
      </c>
      <c r="C185" s="31">
        <v>2.1</v>
      </c>
      <c r="D185" s="32">
        <v>2.1</v>
      </c>
      <c r="E185" s="32"/>
      <c r="F185" s="33">
        <v>4.2</v>
      </c>
      <c r="G185" s="33">
        <v>1.3</v>
      </c>
      <c r="H185" s="33"/>
      <c r="I185" s="34">
        <f t="shared" si="27"/>
        <v>1.3</v>
      </c>
      <c r="J185" s="35">
        <f t="shared" si="28"/>
        <v>0</v>
      </c>
      <c r="M185" s="36">
        <v>3</v>
      </c>
      <c r="N185" s="37">
        <v>0.77</v>
      </c>
      <c r="AK185" s="37"/>
      <c r="AL185" s="37"/>
      <c r="AM185" s="37"/>
      <c r="AN185" s="37"/>
      <c r="AO185" s="36">
        <v>6</v>
      </c>
      <c r="AP185" s="37">
        <v>1.33</v>
      </c>
      <c r="AQ185" s="37"/>
      <c r="AR185" s="37"/>
      <c r="AS185" s="36"/>
      <c r="AT185" s="37"/>
      <c r="AU185" s="36"/>
      <c r="AV185" s="37"/>
      <c r="AW185" s="36"/>
      <c r="AX185" s="37"/>
      <c r="AY185" s="37"/>
      <c r="AZ185" s="37"/>
      <c r="BA185" s="36"/>
      <c r="BB185" s="37"/>
      <c r="BC185" s="37"/>
      <c r="BD185" s="37"/>
      <c r="BE185" s="37">
        <f t="shared" si="30"/>
        <v>2.1</v>
      </c>
      <c r="BF185" s="38">
        <f t="shared" si="31"/>
        <v>4.9</v>
      </c>
      <c r="BG185" s="35">
        <f t="shared" si="29"/>
        <v>10.290000000000001</v>
      </c>
    </row>
    <row r="186" spans="1:59" ht="12.75">
      <c r="A186" s="29">
        <v>44127</v>
      </c>
      <c r="B186" s="30" t="s">
        <v>217</v>
      </c>
      <c r="C186" s="31">
        <v>2.5999999999999996</v>
      </c>
      <c r="D186" s="32"/>
      <c r="E186" s="32"/>
      <c r="F186" s="33">
        <v>2.5999999999999996</v>
      </c>
      <c r="G186" s="33">
        <v>0.8</v>
      </c>
      <c r="H186" s="33"/>
      <c r="I186" s="34">
        <f t="shared" si="27"/>
        <v>0.8</v>
      </c>
      <c r="J186" s="35">
        <f t="shared" si="28"/>
        <v>0</v>
      </c>
      <c r="AI186" s="36">
        <v>5.5</v>
      </c>
      <c r="AJ186" s="37">
        <v>2.6</v>
      </c>
      <c r="AK186" s="37"/>
      <c r="AL186" s="37"/>
      <c r="AM186" s="37"/>
      <c r="AN186" s="37"/>
      <c r="AO186" s="36"/>
      <c r="AP186" s="37"/>
      <c r="AQ186" s="37"/>
      <c r="AR186" s="37"/>
      <c r="AS186" s="36"/>
      <c r="AT186" s="37"/>
      <c r="AU186" s="36"/>
      <c r="AV186" s="37"/>
      <c r="AW186" s="36"/>
      <c r="AX186" s="37"/>
      <c r="AY186" s="37"/>
      <c r="AZ186" s="37"/>
      <c r="BA186" s="36"/>
      <c r="BB186" s="37"/>
      <c r="BC186" s="37"/>
      <c r="BD186" s="37"/>
      <c r="BE186" s="37">
        <f t="shared" si="30"/>
        <v>2.6</v>
      </c>
      <c r="BF186" s="38">
        <f t="shared" si="31"/>
        <v>5.5</v>
      </c>
      <c r="BG186" s="35">
        <f t="shared" si="29"/>
        <v>14.3</v>
      </c>
    </row>
    <row r="187" spans="1:59" ht="12.75">
      <c r="A187" s="29">
        <v>44128</v>
      </c>
      <c r="B187" s="30" t="s">
        <v>218</v>
      </c>
      <c r="C187" s="31">
        <v>0</v>
      </c>
      <c r="D187" s="32">
        <v>2.7</v>
      </c>
      <c r="E187" s="32"/>
      <c r="F187" s="33">
        <v>2.7</v>
      </c>
      <c r="G187" s="33"/>
      <c r="H187" s="33">
        <v>0.7</v>
      </c>
      <c r="I187" s="34">
        <f t="shared" si="27"/>
        <v>0.7</v>
      </c>
      <c r="J187" s="35">
        <f t="shared" si="28"/>
        <v>0</v>
      </c>
      <c r="AI187" s="36"/>
      <c r="AJ187" s="37"/>
      <c r="AK187" s="37"/>
      <c r="AL187" s="37"/>
      <c r="AM187" s="37"/>
      <c r="AN187" s="37"/>
      <c r="AO187" s="36"/>
      <c r="AP187" s="37"/>
      <c r="AQ187" s="37"/>
      <c r="AR187" s="37"/>
      <c r="AS187" s="36"/>
      <c r="AT187" s="37"/>
      <c r="AU187" s="36"/>
      <c r="AV187" s="37"/>
      <c r="AW187" s="36"/>
      <c r="AX187" s="37"/>
      <c r="AY187" s="37"/>
      <c r="AZ187" s="37"/>
      <c r="BA187" s="36"/>
      <c r="BB187" s="37"/>
      <c r="BC187" s="37"/>
      <c r="BD187" s="37"/>
      <c r="BE187" s="37">
        <f>AJ187+AP187+AT187+AV187+AX187+BB187</f>
        <v>0</v>
      </c>
      <c r="BF187" s="38"/>
      <c r="BG187" s="35">
        <f t="shared" si="29"/>
        <v>0</v>
      </c>
    </row>
    <row r="188" spans="1:59" ht="24.75">
      <c r="A188" s="29">
        <v>44133</v>
      </c>
      <c r="B188" s="30" t="s">
        <v>219</v>
      </c>
      <c r="C188" s="31">
        <v>5.04</v>
      </c>
      <c r="D188" s="32">
        <v>3.26</v>
      </c>
      <c r="E188" s="32"/>
      <c r="F188" s="33">
        <v>8.3</v>
      </c>
      <c r="G188" s="33">
        <v>3.22</v>
      </c>
      <c r="H188" s="33">
        <v>0.53</v>
      </c>
      <c r="I188" s="34">
        <f t="shared" si="27"/>
        <v>3.75</v>
      </c>
      <c r="J188" s="35">
        <f t="shared" si="28"/>
        <v>0</v>
      </c>
      <c r="AC188" s="36">
        <v>5</v>
      </c>
      <c r="AD188" s="37">
        <v>1.35</v>
      </c>
      <c r="AI188" s="36">
        <v>5.5</v>
      </c>
      <c r="AJ188" s="37">
        <v>3.69</v>
      </c>
      <c r="AK188" s="37"/>
      <c r="AL188" s="37"/>
      <c r="AM188" s="37"/>
      <c r="AN188" s="37"/>
      <c r="AQ188" s="37"/>
      <c r="AR188" s="37"/>
      <c r="AS188" s="36"/>
      <c r="AT188" s="37"/>
      <c r="AU188" s="36"/>
      <c r="AV188" s="37"/>
      <c r="AW188" s="36"/>
      <c r="AX188" s="37"/>
      <c r="AY188" s="37"/>
      <c r="AZ188" s="37"/>
      <c r="BA188" s="36"/>
      <c r="BB188" s="37"/>
      <c r="BC188" s="37"/>
      <c r="BD188" s="37"/>
      <c r="BE188" s="37">
        <f>L188+N188+P188+R188+T188+V188+X188+Z188+AB188+AD188+AF188+AH188+AJ188+AL188+AN188+AP188+AR188+AT188+AV188+AX188+AZ188+BB188+BD188</f>
        <v>5.04</v>
      </c>
      <c r="BF188" s="38">
        <f>(K188*L188+M188*N188+O188*P188+Q188*R188+S188*T188+U188*V188+W188*X188+Y188*Z188+AA188*AB188+AC188*AD188+AE188*AF188+AG188*AH188+AI188*AJ188+AK188*AL188+AM188*AN188+AO188*AP188+AQ188*AR188+AS188*AT188+AU188*AV188+AW188*AX188+AY188*AZ188+BA188*BB188+BC188*BD188)/BE188</f>
        <v>5.366071428571428</v>
      </c>
      <c r="BG188" s="35">
        <f t="shared" si="29"/>
        <v>27.044999999999998</v>
      </c>
    </row>
    <row r="189" spans="1:59" ht="12.75">
      <c r="A189" s="29">
        <v>44134</v>
      </c>
      <c r="B189" s="30" t="s">
        <v>220</v>
      </c>
      <c r="C189" s="31">
        <v>2.31</v>
      </c>
      <c r="D189" s="32">
        <v>6.29</v>
      </c>
      <c r="E189" s="32"/>
      <c r="F189" s="33">
        <v>8.600000000000001</v>
      </c>
      <c r="G189" s="33">
        <v>2.05</v>
      </c>
      <c r="H189" s="33"/>
      <c r="I189" s="34">
        <f t="shared" si="27"/>
        <v>2.05</v>
      </c>
      <c r="J189" s="35">
        <f t="shared" si="28"/>
        <v>0</v>
      </c>
      <c r="Q189" s="36">
        <v>4</v>
      </c>
      <c r="R189" s="37">
        <v>0.615</v>
      </c>
      <c r="AC189" s="36">
        <v>5</v>
      </c>
      <c r="AD189" s="37">
        <v>1.695</v>
      </c>
      <c r="AK189" s="37"/>
      <c r="AL189" s="37"/>
      <c r="AM189" s="37"/>
      <c r="AN189" s="37"/>
      <c r="AQ189" s="37"/>
      <c r="AR189" s="37"/>
      <c r="AS189" s="36"/>
      <c r="AT189" s="37"/>
      <c r="AU189" s="36"/>
      <c r="AV189" s="37"/>
      <c r="AW189" s="36"/>
      <c r="AX189" s="37"/>
      <c r="AY189" s="37"/>
      <c r="AZ189" s="37"/>
      <c r="BA189" s="36"/>
      <c r="BB189" s="37"/>
      <c r="BC189" s="37"/>
      <c r="BD189" s="37"/>
      <c r="BE189" s="37">
        <f>L189+N189+P189+R189+T189+V189+X189+Z189+AB189+AD189+AF189+AH189+AJ189+AL189+AN189+AP189+AR189+AT189+AV189+AX189+AZ189+BB189+BD189</f>
        <v>2.31</v>
      </c>
      <c r="BF189" s="38">
        <f>(K189*L189+M189*N189+O189*P189+Q189*R189+S189*T189+U189*V189+W189*X189+Y189*Z189+AA189*AB189+AC189*AD189+AE189*AF189+AG189*AH189+AI189*AJ189+AK189*AL189+AM189*AN189+AO189*AP189+AQ189*AR189+AS189*AT189+AU189*AV189+AW189*AX189+AY189*AZ189+BA189*BB189+BC189*BD189)/BE189</f>
        <v>4.733766233766233</v>
      </c>
      <c r="BG189" s="35">
        <f t="shared" si="29"/>
        <v>10.934999999999999</v>
      </c>
    </row>
    <row r="190" spans="1:59" ht="12.75">
      <c r="A190" s="29">
        <v>44135</v>
      </c>
      <c r="B190" s="30" t="s">
        <v>221</v>
      </c>
      <c r="C190" s="31">
        <v>0.08</v>
      </c>
      <c r="D190" s="32">
        <f>3.4-0.08</f>
        <v>3.32</v>
      </c>
      <c r="E190" s="32"/>
      <c r="F190" s="33">
        <v>3.4</v>
      </c>
      <c r="G190" s="33"/>
      <c r="H190" s="33"/>
      <c r="I190" s="34">
        <f t="shared" si="27"/>
        <v>0</v>
      </c>
      <c r="J190" s="35">
        <f t="shared" si="28"/>
        <v>0.08</v>
      </c>
      <c r="AI190" s="36"/>
      <c r="AJ190" s="37"/>
      <c r="AK190" s="37"/>
      <c r="AL190" s="37"/>
      <c r="AM190" s="37"/>
      <c r="AN190" s="37"/>
      <c r="AO190" s="36"/>
      <c r="AP190" s="37"/>
      <c r="AQ190" s="37"/>
      <c r="AR190" s="37"/>
      <c r="AS190" s="36"/>
      <c r="AT190" s="37"/>
      <c r="AU190" s="36"/>
      <c r="AV190" s="37"/>
      <c r="AW190" s="36"/>
      <c r="AX190" s="37"/>
      <c r="AY190" s="37"/>
      <c r="AZ190" s="37"/>
      <c r="BA190" s="36"/>
      <c r="BB190" s="37"/>
      <c r="BC190" s="37"/>
      <c r="BD190" s="37"/>
      <c r="BE190" s="37">
        <f>AJ190+AP190+AT190+AV190+AX190+BB190</f>
        <v>0</v>
      </c>
      <c r="BF190" s="38"/>
      <c r="BG190" s="35">
        <f t="shared" si="29"/>
        <v>0</v>
      </c>
    </row>
    <row r="191" spans="1:59" ht="12.75">
      <c r="A191" s="29">
        <v>44136</v>
      </c>
      <c r="B191" s="30" t="s">
        <v>222</v>
      </c>
      <c r="C191" s="31">
        <v>3.5</v>
      </c>
      <c r="D191" s="32"/>
      <c r="E191" s="32"/>
      <c r="F191" s="33">
        <v>3.5</v>
      </c>
      <c r="G191" s="33">
        <v>1.82</v>
      </c>
      <c r="H191" s="33"/>
      <c r="I191" s="34">
        <f t="shared" si="27"/>
        <v>1.82</v>
      </c>
      <c r="J191" s="35">
        <f t="shared" si="28"/>
        <v>0</v>
      </c>
      <c r="AC191" s="36">
        <v>5</v>
      </c>
      <c r="AD191" s="37">
        <v>1.6800000000000002</v>
      </c>
      <c r="AI191" s="36">
        <v>5.5</v>
      </c>
      <c r="AJ191" s="37">
        <v>1.82</v>
      </c>
      <c r="AK191" s="37"/>
      <c r="AL191" s="37"/>
      <c r="AM191" s="37"/>
      <c r="AN191" s="37"/>
      <c r="AQ191" s="37"/>
      <c r="AR191" s="37"/>
      <c r="AS191" s="36"/>
      <c r="AT191" s="37"/>
      <c r="AU191" s="36"/>
      <c r="AV191" s="37"/>
      <c r="AW191" s="36"/>
      <c r="AX191" s="37"/>
      <c r="AY191" s="37"/>
      <c r="AZ191" s="37"/>
      <c r="BA191" s="36"/>
      <c r="BB191" s="37"/>
      <c r="BC191" s="37"/>
      <c r="BD191" s="37"/>
      <c r="BE191" s="37">
        <f>L191+N191+P191+R191+T191+V191+X191+Z191+AB191+AD191+AF191+AH191+AJ191+AL191+AN191+AP191+AR191+AT191+AV191+AX191+AZ191+BB191+BD191</f>
        <v>3.5</v>
      </c>
      <c r="BF191" s="38">
        <f>(K191*L191+M191*N191+O191*P191+Q191*R191+S191*T191+U191*V191+W191*X191+Y191*Z191+AA191*AB191+AC191*AD191+AE191*AF191+AG191*AH191+AI191*AJ191+AK191*AL191+AM191*AN191+AO191*AP191+AQ191*AR191+AS191*AT191+AU191*AV191+AW191*AX191+AY191*AZ191+BA191*BB191+BC191*BD191)/BE191</f>
        <v>5.26</v>
      </c>
      <c r="BG191" s="35">
        <f t="shared" si="29"/>
        <v>18.41</v>
      </c>
    </row>
    <row r="192" spans="1:59" ht="12.75">
      <c r="A192" s="29">
        <v>44137</v>
      </c>
      <c r="B192" s="30" t="s">
        <v>223</v>
      </c>
      <c r="C192" s="31">
        <v>1.8</v>
      </c>
      <c r="D192" s="32"/>
      <c r="E192" s="32"/>
      <c r="F192" s="33">
        <v>1.8</v>
      </c>
      <c r="G192" s="33">
        <v>1.48</v>
      </c>
      <c r="H192" s="33"/>
      <c r="I192" s="34">
        <f t="shared" si="27"/>
        <v>1.48</v>
      </c>
      <c r="J192" s="35">
        <f t="shared" si="28"/>
        <v>0</v>
      </c>
      <c r="AI192" s="36">
        <v>5.5</v>
      </c>
      <c r="AJ192" s="37">
        <v>1.8</v>
      </c>
      <c r="AK192" s="37"/>
      <c r="AL192" s="37"/>
      <c r="AM192" s="37"/>
      <c r="AN192" s="37"/>
      <c r="AO192" s="36"/>
      <c r="AP192" s="37"/>
      <c r="AQ192" s="37"/>
      <c r="AR192" s="37"/>
      <c r="AS192" s="36"/>
      <c r="AT192" s="37"/>
      <c r="AU192" s="36"/>
      <c r="AV192" s="37"/>
      <c r="AW192" s="36"/>
      <c r="AX192" s="37"/>
      <c r="AY192" s="37"/>
      <c r="AZ192" s="37"/>
      <c r="BA192" s="36"/>
      <c r="BB192" s="37"/>
      <c r="BC192" s="37"/>
      <c r="BD192" s="37"/>
      <c r="BE192" s="37">
        <f>L192+N192+P192+R192+T192+V192+X192+Z192+AB192+AD192+AF192+AH192+AJ192+AL192+AN192+AP192+AR192+AT192+AV192+AX192+AZ192+BB192+BD192</f>
        <v>1.8</v>
      </c>
      <c r="BF192" s="38">
        <f>(K192*L192+M192*N192+O192*P192+Q192*R192+S192*T192+U192*V192+W192*X192+Y192*Z192+AA192*AB192+AC192*AD192+AE192*AF192+AG192*AH192+AI192*AJ192+AK192*AL192+AM192*AN192+AO192*AP192+AQ192*AR192+AS192*AT192+AU192*AV192+AW192*AX192+AY192*AZ192+BA192*BB192+BC192*BD192)/BE192</f>
        <v>5.5</v>
      </c>
      <c r="BG192" s="35">
        <f t="shared" si="29"/>
        <v>9.9</v>
      </c>
    </row>
    <row r="193" spans="1:59" ht="12.75">
      <c r="A193" s="29">
        <v>44138</v>
      </c>
      <c r="B193" s="30" t="s">
        <v>224</v>
      </c>
      <c r="C193" s="31">
        <v>1.2</v>
      </c>
      <c r="D193" s="32"/>
      <c r="E193" s="32"/>
      <c r="F193" s="33">
        <v>1.2</v>
      </c>
      <c r="G193" s="33">
        <v>1.2</v>
      </c>
      <c r="H193" s="33"/>
      <c r="I193" s="34">
        <f t="shared" si="27"/>
        <v>1.2</v>
      </c>
      <c r="J193" s="35">
        <f t="shared" si="28"/>
        <v>0</v>
      </c>
      <c r="AI193" s="36">
        <v>5.5</v>
      </c>
      <c r="AJ193" s="37">
        <v>1.2</v>
      </c>
      <c r="AK193" s="37"/>
      <c r="AL193" s="37"/>
      <c r="AM193" s="37"/>
      <c r="AN193" s="37"/>
      <c r="AO193" s="36"/>
      <c r="AP193" s="37"/>
      <c r="AQ193" s="37"/>
      <c r="AR193" s="37"/>
      <c r="AS193" s="36"/>
      <c r="AT193" s="37"/>
      <c r="AU193" s="36"/>
      <c r="AV193" s="37"/>
      <c r="AW193" s="36"/>
      <c r="AX193" s="37"/>
      <c r="AY193" s="37"/>
      <c r="AZ193" s="37"/>
      <c r="BA193" s="36"/>
      <c r="BB193" s="37"/>
      <c r="BC193" s="37"/>
      <c r="BD193" s="37"/>
      <c r="BE193" s="37">
        <f>L193+N193+P193+R193+T193+V193+X193+Z193+AB193+AD193+AF193+AH193+AJ193+AL193+AN193+AP193+AR193+AT193+AV193+AX193+AZ193+BB193+BD193</f>
        <v>1.2</v>
      </c>
      <c r="BF193" s="38">
        <f>(K193*L193+M193*N193+O193*P193+Q193*R193+S193*T193+U193*V193+W193*X193+Y193*Z193+AA193*AB193+AC193*AD193+AE193*AF193+AG193*AH193+AI193*AJ193+AK193*AL193+AM193*AN193+AO193*AP193+AQ193*AR193+AS193*AT193+AU193*AV193+AW193*AX193+AY193*AZ193+BA193*BB193+BC193*BD193)/BE193</f>
        <v>5.5</v>
      </c>
      <c r="BG193" s="35">
        <f t="shared" si="29"/>
        <v>6.6</v>
      </c>
    </row>
    <row r="194" spans="1:59" ht="12.75">
      <c r="A194" s="29">
        <v>44139</v>
      </c>
      <c r="B194" s="30" t="s">
        <v>225</v>
      </c>
      <c r="C194" s="31">
        <v>4.9</v>
      </c>
      <c r="D194" s="32"/>
      <c r="E194" s="32"/>
      <c r="F194" s="33">
        <v>4.9</v>
      </c>
      <c r="G194" s="33">
        <v>0.64</v>
      </c>
      <c r="H194" s="33"/>
      <c r="I194" s="34">
        <f>G194+H194</f>
        <v>0.64</v>
      </c>
      <c r="J194" s="35">
        <f t="shared" si="28"/>
        <v>0</v>
      </c>
      <c r="AC194" s="36">
        <v>5</v>
      </c>
      <c r="AD194" s="37">
        <v>0.6000000000000001</v>
      </c>
      <c r="AI194" s="36">
        <v>5.5</v>
      </c>
      <c r="AJ194" s="37">
        <v>4.3</v>
      </c>
      <c r="AK194" s="37"/>
      <c r="AL194" s="37"/>
      <c r="AM194" s="37"/>
      <c r="AN194" s="37"/>
      <c r="AQ194" s="37"/>
      <c r="AR194" s="37"/>
      <c r="AS194" s="36"/>
      <c r="AT194" s="37"/>
      <c r="AU194" s="36"/>
      <c r="AV194" s="37"/>
      <c r="AW194" s="36"/>
      <c r="AX194" s="37"/>
      <c r="AY194" s="37"/>
      <c r="AZ194" s="37"/>
      <c r="BA194" s="36"/>
      <c r="BB194" s="37"/>
      <c r="BC194" s="37"/>
      <c r="BD194" s="37"/>
      <c r="BE194" s="37">
        <f>L194+N194+P194+R194+T194+V194+X194+Z194+AB194+AD194+AF194+AH194+AJ194+AL194+AN194+AP194+AR194+AT194+AV194+AX194+AZ194+BB194+BD194</f>
        <v>4.9</v>
      </c>
      <c r="BF194" s="38">
        <f>(K194*L194+M194*N194+O194*P194+Q194*R194+S194*T194+U194*V194+W194*X194+Y194*Z194+AA194*AB194+AC194*AD194+AE194*AF194+AG194*AH194+AI194*AJ194+AK194*AL194+AM194*AN194+AO194*AP194+AQ194*AR194+AS194*AT194+AU194*AV194+AW194*AX194+AY194*AZ194+BA194*BB194+BC194*BD194)/BE194</f>
        <v>5.438775510204081</v>
      </c>
      <c r="BG194" s="35">
        <f t="shared" si="29"/>
        <v>26.650000000000002</v>
      </c>
    </row>
    <row r="195" spans="1:59" ht="12.75">
      <c r="A195" s="29">
        <v>44141</v>
      </c>
      <c r="B195" s="30" t="s">
        <v>226</v>
      </c>
      <c r="C195" s="31">
        <v>2</v>
      </c>
      <c r="D195" s="32">
        <v>2.3</v>
      </c>
      <c r="E195" s="32"/>
      <c r="F195" s="33">
        <v>4.3</v>
      </c>
      <c r="G195" s="33">
        <v>0.52</v>
      </c>
      <c r="H195" s="33"/>
      <c r="I195" s="34">
        <f>G195+H195</f>
        <v>0.52</v>
      </c>
      <c r="J195" s="35">
        <f t="shared" si="28"/>
        <v>0</v>
      </c>
      <c r="AK195" s="37"/>
      <c r="AL195" s="37"/>
      <c r="AM195" s="37"/>
      <c r="AN195" s="37"/>
      <c r="AO195" s="36">
        <v>6</v>
      </c>
      <c r="AP195" s="37">
        <v>2</v>
      </c>
      <c r="AQ195" s="37"/>
      <c r="AR195" s="37"/>
      <c r="AS195" s="36"/>
      <c r="AT195" s="37"/>
      <c r="AU195" s="36"/>
      <c r="AV195" s="37"/>
      <c r="AW195" s="36"/>
      <c r="AX195" s="37"/>
      <c r="AY195" s="37"/>
      <c r="AZ195" s="37"/>
      <c r="BA195" s="36"/>
      <c r="BB195" s="37"/>
      <c r="BC195" s="37"/>
      <c r="BD195" s="37"/>
      <c r="BE195" s="37">
        <f>L195+N195+P195+R195+T195+V195+X195+Z195+AB195+AD195+AF195+AH195+AJ195+AL195+AN195+AP195+AR195+AT195+AV195+AX195+AZ195+BB195+BD195</f>
        <v>2</v>
      </c>
      <c r="BF195" s="38">
        <f>(K195*L195+M195*N195+O195*P195+Q195*R195+S195*T195+U195*V195+W195*X195+Y195*Z195+AA195*AB195+AC195*AD195+AE195*AF195+AG195*AH195+AI195*AJ195+AK195*AL195+AM195*AN195+AO195*AP195+AQ195*AR195+AS195*AT195+AU195*AV195+AW195*AX195+AY195*AZ195+BA195*BB195+BC195*BD195)/BE195</f>
        <v>6</v>
      </c>
      <c r="BG195" s="35">
        <f>BF195*BE195</f>
        <v>12</v>
      </c>
    </row>
    <row r="196" spans="1:60" ht="12.75">
      <c r="A196" s="76"/>
      <c r="B196" s="77" t="s">
        <v>124</v>
      </c>
      <c r="C196" s="78">
        <f>SUM(C97:C195)</f>
        <v>290.9600000000001</v>
      </c>
      <c r="D196" s="79">
        <f>SUM(D97:D195)</f>
        <v>196.64399999999998</v>
      </c>
      <c r="E196" s="79"/>
      <c r="F196" s="61">
        <f>SUM(F97:F195)</f>
        <v>487.604</v>
      </c>
      <c r="G196" s="61">
        <f>SUM(G97:G195)</f>
        <v>117.91000000000003</v>
      </c>
      <c r="H196" s="61">
        <f>SUM(H97:H195)</f>
        <v>7.73</v>
      </c>
      <c r="I196" s="61">
        <f>SUM(I97:I195)</f>
        <v>125.64000000000004</v>
      </c>
      <c r="BF196" s="38">
        <f>BG196/C196</f>
        <v>4.995193497387956</v>
      </c>
      <c r="BG196" s="35">
        <f>SUM(BG98:BG195)</f>
        <v>1453.4015000000002</v>
      </c>
      <c r="BH196" t="s">
        <v>227</v>
      </c>
    </row>
    <row r="197" spans="1:41" ht="12.75">
      <c r="A197" s="80"/>
      <c r="B197" s="81"/>
      <c r="C197" s="64"/>
      <c r="D197" s="65"/>
      <c r="E197" s="65"/>
      <c r="F197" s="82"/>
      <c r="G197" s="82"/>
      <c r="H197" s="82"/>
      <c r="I197" s="82"/>
      <c r="AI197" s="36"/>
      <c r="AO197" s="36"/>
    </row>
    <row r="198" spans="1:58" ht="12.75">
      <c r="A198" s="80"/>
      <c r="B198" s="81"/>
      <c r="C198" s="83"/>
      <c r="D198" s="65"/>
      <c r="E198" s="65"/>
      <c r="F198" s="84"/>
      <c r="G198" s="84"/>
      <c r="H198" s="84"/>
      <c r="I198" s="84"/>
      <c r="J198" t="s">
        <v>228</v>
      </c>
      <c r="L198" s="85">
        <f>SUM(L8:L195)</f>
        <v>8.02</v>
      </c>
      <c r="M198" s="85"/>
      <c r="N198" s="85">
        <f>SUM(N8:N195)</f>
        <v>27.870000000000008</v>
      </c>
      <c r="O198" s="85"/>
      <c r="P198" s="85">
        <f>SUM(P8:P195)</f>
        <v>5.835</v>
      </c>
      <c r="Q198" s="85"/>
      <c r="R198" s="85">
        <f>SUM(R8:R195)</f>
        <v>66.185</v>
      </c>
      <c r="S198" s="85"/>
      <c r="T198" s="85">
        <f>SUM(T8:T195)</f>
        <v>1.5</v>
      </c>
      <c r="U198" s="85"/>
      <c r="V198" s="85">
        <f>SUM(V8:V195)</f>
        <v>6.1000000000000005</v>
      </c>
      <c r="W198" s="85"/>
      <c r="X198" s="85">
        <f>SUM(X8:X195)</f>
        <v>7.5</v>
      </c>
      <c r="Y198" s="85"/>
      <c r="Z198" s="85">
        <f>SUM(Z8:Z195)</f>
        <v>8.24</v>
      </c>
      <c r="AA198" s="85"/>
      <c r="AB198" s="85">
        <f>SUM(AB8:AB195)</f>
        <v>1.8</v>
      </c>
      <c r="AC198" s="85"/>
      <c r="AD198" s="85">
        <f>SUM(AD8:AD195)</f>
        <v>177.83599999999996</v>
      </c>
      <c r="AE198" s="85"/>
      <c r="AF198" s="85">
        <f>SUM(AF8:AF195)</f>
        <v>25.02</v>
      </c>
      <c r="AG198" s="85"/>
      <c r="AH198" s="85">
        <f>SUM(AH8:AH195)</f>
        <v>2.2</v>
      </c>
      <c r="AI198" s="85"/>
      <c r="AJ198" s="85">
        <f>SUM(AJ8:AJ195)</f>
        <v>237.91500000000002</v>
      </c>
      <c r="AK198" s="85"/>
      <c r="AL198" s="85">
        <f>SUM(AL8:AL195)</f>
        <v>0.25</v>
      </c>
      <c r="AM198" s="85"/>
      <c r="AN198" s="85">
        <f>SUM(AN8:AN195)</f>
        <v>3.4850000000000003</v>
      </c>
      <c r="AO198" s="85"/>
      <c r="AP198" s="85">
        <f>SUM(AP8:AP195)</f>
        <v>282.16900000000004</v>
      </c>
      <c r="AQ198" s="85"/>
      <c r="AR198" s="85">
        <f>SUM(AR8:AR195)</f>
        <v>10.700000000000001</v>
      </c>
      <c r="AS198" s="85"/>
      <c r="AT198" s="85">
        <f>SUM(AT8:AT195)</f>
        <v>4.115</v>
      </c>
      <c r="AU198" s="85"/>
      <c r="AV198" s="85">
        <f>SUM(AV8:AV195)</f>
        <v>42.105000000000004</v>
      </c>
      <c r="AW198" s="85"/>
      <c r="AX198" s="85">
        <f>SUM(AX8:AX195)</f>
        <v>6.97</v>
      </c>
      <c r="AY198" s="85"/>
      <c r="AZ198" s="85">
        <f>SUM(AZ8:AZ195)</f>
        <v>0.15</v>
      </c>
      <c r="BA198" s="85"/>
      <c r="BB198" s="85">
        <f>SUM(BB8:BB195)</f>
        <v>2.595</v>
      </c>
      <c r="BC198" s="85"/>
      <c r="BD198" s="85">
        <f>SUM(BD8:BD195)</f>
        <v>0.41000000000000003</v>
      </c>
      <c r="BF198" s="38"/>
    </row>
    <row r="199" spans="1:58" ht="12.75">
      <c r="A199" s="80"/>
      <c r="B199" s="86"/>
      <c r="C199" s="64"/>
      <c r="D199" s="4"/>
      <c r="E199" s="4"/>
      <c r="F199" s="4"/>
      <c r="G199" s="4"/>
      <c r="H199" s="4"/>
      <c r="I199" s="4"/>
      <c r="AI199" s="36"/>
      <c r="AO199" s="36"/>
      <c r="BF199" s="38"/>
    </row>
    <row r="200" spans="1:58" ht="12.75">
      <c r="A200" s="80"/>
      <c r="B200" s="86"/>
      <c r="C200" s="64"/>
      <c r="D200" s="4"/>
      <c r="E200" s="4"/>
      <c r="F200" s="4"/>
      <c r="G200" s="4"/>
      <c r="H200" s="4"/>
      <c r="I200" s="4"/>
      <c r="J200" t="s">
        <v>229</v>
      </c>
      <c r="L200" s="35">
        <f>SUM(L198:AB198)</f>
        <v>133.05</v>
      </c>
      <c r="M200" t="s">
        <v>230</v>
      </c>
      <c r="AI200" s="36"/>
      <c r="AO200" s="36"/>
      <c r="BF200" s="38"/>
    </row>
    <row r="201" spans="1:58" ht="42.75">
      <c r="A201" s="118" t="s">
        <v>231</v>
      </c>
      <c r="B201" s="118"/>
      <c r="C201" s="87" t="s">
        <v>232</v>
      </c>
      <c r="D201" s="88" t="s">
        <v>233</v>
      </c>
      <c r="E201" s="88"/>
      <c r="F201" s="89" t="s">
        <v>234</v>
      </c>
      <c r="G201" s="90" t="s">
        <v>235</v>
      </c>
      <c r="H201" s="90" t="s">
        <v>236</v>
      </c>
      <c r="I201" s="90" t="s">
        <v>237</v>
      </c>
      <c r="AI201" s="36"/>
      <c r="AO201" s="36"/>
      <c r="BA201" t="s">
        <v>239</v>
      </c>
      <c r="BF201" s="38">
        <f>(BG94+BG196)/C204</f>
        <v>5.407430708788547</v>
      </c>
    </row>
    <row r="202" spans="1:58" ht="15">
      <c r="A202" s="119" t="s">
        <v>240</v>
      </c>
      <c r="B202" s="119"/>
      <c r="C202" s="26">
        <f>C94</f>
        <v>638.0899999999999</v>
      </c>
      <c r="D202" s="91">
        <f>D94</f>
        <v>12.73</v>
      </c>
      <c r="E202" s="91"/>
      <c r="F202" s="92">
        <f>F94</f>
        <v>650.82</v>
      </c>
      <c r="G202" s="92">
        <f>G94</f>
        <v>286.3000000000001</v>
      </c>
      <c r="H202" s="92">
        <f>H94</f>
        <v>0</v>
      </c>
      <c r="I202" s="92">
        <f>I94</f>
        <v>286.3000000000001</v>
      </c>
      <c r="AI202" s="36"/>
      <c r="AO202" s="36"/>
      <c r="BF202" s="38"/>
    </row>
    <row r="203" spans="1:58" ht="15">
      <c r="A203" s="120" t="s">
        <v>241</v>
      </c>
      <c r="B203" s="120"/>
      <c r="C203" s="94">
        <f>C196</f>
        <v>290.9600000000001</v>
      </c>
      <c r="D203" s="95">
        <f>D196</f>
        <v>196.64399999999998</v>
      </c>
      <c r="E203" s="95"/>
      <c r="F203" s="96">
        <f>F196</f>
        <v>487.604</v>
      </c>
      <c r="G203" s="96">
        <f>G196</f>
        <v>117.91000000000003</v>
      </c>
      <c r="H203" s="96">
        <f>H196</f>
        <v>7.73</v>
      </c>
      <c r="I203" s="96">
        <f>I196</f>
        <v>125.64000000000004</v>
      </c>
      <c r="AI203" s="36"/>
      <c r="AO203" s="36"/>
      <c r="BF203" s="38"/>
    </row>
    <row r="204" spans="1:58" ht="15">
      <c r="A204" s="121" t="s">
        <v>234</v>
      </c>
      <c r="B204" s="121"/>
      <c r="C204" s="97">
        <f>C202+C203</f>
        <v>929.05</v>
      </c>
      <c r="D204" s="98">
        <f>D202+D203</f>
        <v>209.37399999999997</v>
      </c>
      <c r="E204" s="98"/>
      <c r="F204" s="99">
        <f>F202+F203</f>
        <v>1138.424</v>
      </c>
      <c r="G204" s="99">
        <f>G202+G203</f>
        <v>404.21000000000015</v>
      </c>
      <c r="H204" s="99">
        <f>H202+H203</f>
        <v>7.73</v>
      </c>
      <c r="I204" s="99">
        <f>I202+I203</f>
        <v>411.94000000000017</v>
      </c>
      <c r="AI204" s="36"/>
      <c r="AO204" s="36"/>
      <c r="BF204" s="38"/>
    </row>
    <row r="205" spans="35:58" ht="12">
      <c r="AI205" s="36"/>
      <c r="AO205" s="36"/>
      <c r="BF205" s="38"/>
    </row>
    <row r="206" spans="35:58" ht="12">
      <c r="AI206" s="36"/>
      <c r="AO206" s="36"/>
      <c r="BF206" s="38"/>
    </row>
    <row r="207" spans="35:58" ht="12">
      <c r="AI207" s="36"/>
      <c r="AO207" s="36"/>
      <c r="BF207" s="38"/>
    </row>
    <row r="208" spans="35:58" ht="12">
      <c r="AI208" s="36"/>
      <c r="AO208" s="36"/>
      <c r="BF208" s="38"/>
    </row>
    <row r="209" spans="35:58" ht="12">
      <c r="AI209" s="36"/>
      <c r="AO209" s="36"/>
      <c r="BF209" s="38"/>
    </row>
    <row r="210" spans="35:58" ht="12">
      <c r="AI210" s="36"/>
      <c r="AO210" s="36"/>
      <c r="BF210" s="38"/>
    </row>
    <row r="211" spans="35:58" ht="12">
      <c r="AI211" s="36"/>
      <c r="AO211" s="36"/>
      <c r="BF211" s="38"/>
    </row>
    <row r="212" spans="41:58" ht="12">
      <c r="AO212" s="36"/>
      <c r="BF212" s="38"/>
    </row>
    <row r="213" spans="41:58" ht="12">
      <c r="AO213" s="36"/>
      <c r="BF213" s="38"/>
    </row>
    <row r="214" spans="41:58" ht="12">
      <c r="AO214" s="36"/>
      <c r="BF214" s="38"/>
    </row>
    <row r="215" spans="41:58" ht="12">
      <c r="AO215" s="36"/>
      <c r="BF215" s="38"/>
    </row>
    <row r="216" spans="41:58" ht="12">
      <c r="AO216" s="36"/>
      <c r="BF216" s="38"/>
    </row>
    <row r="217" spans="41:58" ht="12">
      <c r="AO217" s="36"/>
      <c r="BF217" s="38"/>
    </row>
    <row r="218" spans="41:58" ht="12">
      <c r="AO218" s="36"/>
      <c r="BF218" s="38"/>
    </row>
    <row r="219" spans="41:58" ht="12">
      <c r="AO219" s="36"/>
      <c r="BF219" s="38"/>
    </row>
    <row r="220" spans="41:58" ht="12">
      <c r="AO220" s="36"/>
      <c r="BF220" s="38"/>
    </row>
    <row r="221" spans="41:58" ht="12">
      <c r="AO221" s="36"/>
      <c r="BF221" s="38"/>
    </row>
    <row r="222" spans="41:58" ht="12">
      <c r="AO222" s="36"/>
      <c r="BF222" s="38"/>
    </row>
    <row r="223" spans="41:58" ht="12">
      <c r="AO223" s="36"/>
      <c r="BF223" s="38"/>
    </row>
    <row r="224" spans="41:58" ht="12">
      <c r="AO224" s="36"/>
      <c r="BF224" s="38"/>
    </row>
    <row r="225" spans="41:58" ht="12">
      <c r="AO225" s="36"/>
      <c r="BF225" s="38"/>
    </row>
    <row r="226" spans="41:58" ht="12">
      <c r="AO226" s="36"/>
      <c r="BF226" s="38"/>
    </row>
    <row r="227" spans="41:58" ht="12">
      <c r="AO227" s="36"/>
      <c r="BF227" s="38"/>
    </row>
    <row r="228" spans="41:58" ht="12">
      <c r="AO228" s="36"/>
      <c r="BF228" s="38"/>
    </row>
    <row r="229" spans="41:58" ht="12">
      <c r="AO229" s="36"/>
      <c r="BF229" s="38"/>
    </row>
    <row r="230" spans="41:58" ht="12">
      <c r="AO230" s="36"/>
      <c r="BF230" s="38"/>
    </row>
    <row r="231" spans="41:58" ht="12">
      <c r="AO231" s="36"/>
      <c r="BF231" s="38"/>
    </row>
    <row r="232" spans="41:58" ht="12">
      <c r="AO232" s="36"/>
      <c r="BF232" s="38"/>
    </row>
    <row r="233" spans="41:58" ht="12">
      <c r="AO233" s="36"/>
      <c r="BF233" s="38"/>
    </row>
    <row r="234" spans="41:58" ht="12">
      <c r="AO234" s="36"/>
      <c r="BF234" s="38"/>
    </row>
    <row r="235" spans="41:58" ht="12">
      <c r="AO235" s="36"/>
      <c r="BF235" s="38"/>
    </row>
    <row r="236" spans="41:58" ht="12">
      <c r="AO236" s="36"/>
      <c r="BF236" s="38"/>
    </row>
  </sheetData>
  <sheetProtection selectLockedCells="1" selectUnlockedCells="1"/>
  <mergeCells count="4">
    <mergeCell ref="A201:B201"/>
    <mergeCell ref="A202:B202"/>
    <mergeCell ref="A203:B203"/>
    <mergeCell ref="A204:B20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2022-03-08T13:03:02Z</dcterms:created>
  <dcterms:modified xsi:type="dcterms:W3CDTF">2022-04-11T10:08:15Z</dcterms:modified>
  <cp:category/>
  <cp:version/>
  <cp:contentType/>
  <cp:contentStatus/>
</cp:coreProperties>
</file>